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eba.ch\users\Buelach\Homes\sbrunner\Documents\"/>
    </mc:Choice>
  </mc:AlternateContent>
  <bookViews>
    <workbookView xWindow="285" yWindow="165" windowWidth="19620" windowHeight="9210"/>
  </bookViews>
  <sheets>
    <sheet name="Info" sheetId="7" r:id="rId1"/>
    <sheet name="Dimensionnement rectangulaire" sheetId="2" r:id="rId2"/>
    <sheet name="Dimensionnement rond" sheetId="5" r:id="rId3"/>
    <sheet name="Sortie" sheetId="6" r:id="rId4"/>
  </sheets>
  <calcPr calcId="152511"/>
</workbook>
</file>

<file path=xl/calcChain.xml><?xml version="1.0" encoding="utf-8"?>
<calcChain xmlns="http://schemas.openxmlformats.org/spreadsheetml/2006/main">
  <c r="B35" i="6" l="1"/>
  <c r="B28" i="6"/>
  <c r="B27" i="6"/>
  <c r="B24" i="6"/>
  <c r="B23" i="6"/>
  <c r="B22" i="6"/>
  <c r="B18" i="6"/>
  <c r="B17" i="6"/>
  <c r="B16" i="6"/>
  <c r="B15" i="6"/>
  <c r="B14" i="6"/>
  <c r="B10" i="6"/>
  <c r="B33" i="6" l="1"/>
  <c r="B30" i="6"/>
  <c r="F15" i="6" s="1"/>
  <c r="B31" i="6"/>
  <c r="F14" i="6"/>
  <c r="F26" i="6" l="1"/>
  <c r="E16" i="6"/>
  <c r="B32" i="6"/>
  <c r="G4" i="5" l="1"/>
  <c r="B33" i="5"/>
  <c r="B31" i="5"/>
  <c r="B30" i="5"/>
  <c r="B35" i="2"/>
  <c r="B34" i="2"/>
  <c r="B41" i="2" s="1"/>
  <c r="H4" i="5" l="1"/>
  <c r="H5" i="5" s="1"/>
  <c r="G8" i="5"/>
  <c r="G5" i="5"/>
  <c r="G7" i="5"/>
  <c r="B37" i="5"/>
  <c r="B49" i="5" s="1"/>
  <c r="B32" i="5"/>
  <c r="B36" i="2"/>
  <c r="B53" i="2"/>
  <c r="B37" i="2"/>
  <c r="B38" i="5" l="1"/>
  <c r="B42" i="2"/>
  <c r="H8" i="5"/>
  <c r="H7" i="5"/>
  <c r="H6" i="5" s="1"/>
  <c r="I4" i="5"/>
  <c r="G6" i="5"/>
  <c r="B48" i="2" l="1"/>
  <c r="B49" i="2" s="1"/>
  <c r="F18" i="6"/>
  <c r="E20" i="6" s="1"/>
  <c r="B39" i="5"/>
  <c r="B44" i="5"/>
  <c r="B43" i="2"/>
  <c r="B54" i="2"/>
  <c r="B55" i="2" s="1"/>
  <c r="J4" i="5"/>
  <c r="I5" i="5"/>
  <c r="I8" i="5"/>
  <c r="I7" i="5"/>
  <c r="H4" i="2"/>
  <c r="G5" i="2"/>
  <c r="F19" i="6" l="1"/>
  <c r="F22" i="6"/>
  <c r="B45" i="5"/>
  <c r="B50" i="5"/>
  <c r="B51" i="5" s="1"/>
  <c r="I6" i="5"/>
  <c r="K4" i="5"/>
  <c r="J7" i="5"/>
  <c r="J8" i="5"/>
  <c r="J5" i="5"/>
  <c r="I4" i="2"/>
  <c r="I17" i="2" s="1"/>
  <c r="I30" i="2" s="1"/>
  <c r="I43" i="2" s="1"/>
  <c r="H5" i="2"/>
  <c r="G18" i="2"/>
  <c r="G31" i="2" s="1"/>
  <c r="G6" i="2"/>
  <c r="H6" i="2" s="1"/>
  <c r="H17" i="2"/>
  <c r="H30" i="2" s="1"/>
  <c r="H43" i="2" s="1"/>
  <c r="F23" i="6" l="1"/>
  <c r="E24" i="6" s="1"/>
  <c r="F27" i="6"/>
  <c r="E29" i="6" s="1"/>
  <c r="J6" i="5"/>
  <c r="L4" i="5"/>
  <c r="K8" i="5"/>
  <c r="K7" i="5"/>
  <c r="K5" i="5"/>
  <c r="J4" i="2"/>
  <c r="J17" i="2" s="1"/>
  <c r="J30" i="2" s="1"/>
  <c r="J43" i="2" s="1"/>
  <c r="I6" i="2"/>
  <c r="I5" i="2"/>
  <c r="G7" i="2"/>
  <c r="I7" i="2" s="1"/>
  <c r="G44" i="2"/>
  <c r="H44" i="2" s="1"/>
  <c r="H31" i="2"/>
  <c r="H18" i="2" s="1"/>
  <c r="I31" i="2"/>
  <c r="G19" i="2"/>
  <c r="G32" i="2" s="1"/>
  <c r="F28" i="6" l="1"/>
  <c r="K6" i="5"/>
  <c r="M4" i="5"/>
  <c r="M5" i="5" s="1"/>
  <c r="L5" i="5"/>
  <c r="L7" i="5"/>
  <c r="L8" i="5"/>
  <c r="G20" i="2"/>
  <c r="G33" i="2" s="1"/>
  <c r="G46" i="2" s="1"/>
  <c r="H7" i="2"/>
  <c r="I18" i="2"/>
  <c r="K4" i="2"/>
  <c r="K17" i="2" s="1"/>
  <c r="K30" i="2" s="1"/>
  <c r="J7" i="2"/>
  <c r="J6" i="2"/>
  <c r="J5" i="2"/>
  <c r="I44" i="2"/>
  <c r="J44" i="2"/>
  <c r="G8" i="2"/>
  <c r="J8" i="2" s="1"/>
  <c r="J31" i="2"/>
  <c r="G45" i="2"/>
  <c r="H32" i="2"/>
  <c r="H19" i="2" s="1"/>
  <c r="I32" i="2"/>
  <c r="I19" i="2" s="1"/>
  <c r="J32" i="2"/>
  <c r="I33" i="2" l="1"/>
  <c r="J18" i="2"/>
  <c r="J33" i="2"/>
  <c r="L6" i="5"/>
  <c r="N4" i="5"/>
  <c r="M8" i="5"/>
  <c r="M7" i="5"/>
  <c r="H33" i="2"/>
  <c r="H20" i="2" s="1"/>
  <c r="H8" i="2"/>
  <c r="I8" i="2"/>
  <c r="J19" i="2"/>
  <c r="L4" i="2"/>
  <c r="K8" i="2"/>
  <c r="K7" i="2"/>
  <c r="K6" i="2"/>
  <c r="K5" i="2"/>
  <c r="I46" i="2"/>
  <c r="J46" i="2"/>
  <c r="H46" i="2"/>
  <c r="I45" i="2"/>
  <c r="J45" i="2"/>
  <c r="H45" i="2"/>
  <c r="G9" i="2"/>
  <c r="G21" i="2"/>
  <c r="G34" i="2" s="1"/>
  <c r="K34" i="2" s="1"/>
  <c r="J20" i="2"/>
  <c r="I20" i="2"/>
  <c r="K43" i="2"/>
  <c r="K44" i="2" s="1"/>
  <c r="K31" i="2"/>
  <c r="K33" i="2"/>
  <c r="K32" i="2"/>
  <c r="L17" i="2"/>
  <c r="L30" i="2" s="1"/>
  <c r="K19" i="2" l="1"/>
  <c r="M6" i="5"/>
  <c r="O4" i="5"/>
  <c r="N7" i="5"/>
  <c r="N8" i="5"/>
  <c r="N5" i="5"/>
  <c r="K20" i="2"/>
  <c r="K18" i="2"/>
  <c r="H9" i="2"/>
  <c r="I9" i="2"/>
  <c r="J9" i="2"/>
  <c r="K9" i="2"/>
  <c r="M4" i="2"/>
  <c r="L9" i="2"/>
  <c r="L8" i="2"/>
  <c r="L7" i="2"/>
  <c r="L6" i="2"/>
  <c r="L5" i="2"/>
  <c r="K45" i="2"/>
  <c r="K46" i="2"/>
  <c r="K21" i="2"/>
  <c r="G10" i="2"/>
  <c r="L10" i="2" s="1"/>
  <c r="G22" i="2"/>
  <c r="G35" i="2" s="1"/>
  <c r="J34" i="2"/>
  <c r="J21" i="2" s="1"/>
  <c r="I34" i="2"/>
  <c r="I21" i="2" s="1"/>
  <c r="G47" i="2"/>
  <c r="H34" i="2"/>
  <c r="H21" i="2" s="1"/>
  <c r="L31" i="2"/>
  <c r="L32" i="2"/>
  <c r="L34" i="2"/>
  <c r="L33" i="2"/>
  <c r="L43" i="2"/>
  <c r="M17" i="2"/>
  <c r="M30" i="2" s="1"/>
  <c r="L19" i="2" l="1"/>
  <c r="L18" i="2"/>
  <c r="N6" i="5"/>
  <c r="P4" i="5"/>
  <c r="O8" i="5"/>
  <c r="O7" i="5"/>
  <c r="O5" i="5"/>
  <c r="L20" i="2"/>
  <c r="H10" i="2"/>
  <c r="I10" i="2"/>
  <c r="J10" i="2"/>
  <c r="K10" i="2"/>
  <c r="L21" i="2"/>
  <c r="N4" i="2"/>
  <c r="M10" i="2"/>
  <c r="M9" i="2"/>
  <c r="M8" i="2"/>
  <c r="M7" i="2"/>
  <c r="M6" i="2"/>
  <c r="M5" i="2"/>
  <c r="L35" i="2"/>
  <c r="J35" i="2"/>
  <c r="J22" i="2" s="1"/>
  <c r="L44" i="2"/>
  <c r="L46" i="2"/>
  <c r="L45" i="2"/>
  <c r="K47" i="2"/>
  <c r="I47" i="2"/>
  <c r="L47" i="2"/>
  <c r="J47" i="2"/>
  <c r="H47" i="2"/>
  <c r="G11" i="2"/>
  <c r="G23" i="2"/>
  <c r="G36" i="2" s="1"/>
  <c r="M36" i="2" s="1"/>
  <c r="K35" i="2"/>
  <c r="K22" i="2" s="1"/>
  <c r="G48" i="2"/>
  <c r="H35" i="2"/>
  <c r="H22" i="2" s="1"/>
  <c r="I35" i="2"/>
  <c r="I22" i="2" s="1"/>
  <c r="L22" i="2"/>
  <c r="M43" i="2"/>
  <c r="M31" i="2"/>
  <c r="M34" i="2"/>
  <c r="M32" i="2"/>
  <c r="M33" i="2"/>
  <c r="M20" i="2" s="1"/>
  <c r="M35" i="2"/>
  <c r="N17" i="2"/>
  <c r="N30" i="2" s="1"/>
  <c r="M21" i="2" l="1"/>
  <c r="O6" i="5"/>
  <c r="P8" i="5"/>
  <c r="P5" i="5"/>
  <c r="P7" i="5"/>
  <c r="M19" i="2"/>
  <c r="M22" i="2"/>
  <c r="M18" i="2"/>
  <c r="H11" i="2"/>
  <c r="I11" i="2"/>
  <c r="J11" i="2"/>
  <c r="K11" i="2"/>
  <c r="L11" i="2"/>
  <c r="M11" i="2"/>
  <c r="O4" i="2"/>
  <c r="N11" i="2"/>
  <c r="N10" i="2"/>
  <c r="N9" i="2"/>
  <c r="N8" i="2"/>
  <c r="N7" i="2"/>
  <c r="N6" i="2"/>
  <c r="N5" i="2"/>
  <c r="M44" i="2"/>
  <c r="M46" i="2"/>
  <c r="M45" i="2"/>
  <c r="M47" i="2"/>
  <c r="M48" i="2"/>
  <c r="K48" i="2"/>
  <c r="I48" i="2"/>
  <c r="L48" i="2"/>
  <c r="J48" i="2"/>
  <c r="H48" i="2"/>
  <c r="G12" i="2"/>
  <c r="G24" i="2"/>
  <c r="G37" i="2" s="1"/>
  <c r="L36" i="2"/>
  <c r="L23" i="2" s="1"/>
  <c r="H36" i="2"/>
  <c r="H23" i="2" s="1"/>
  <c r="G49" i="2"/>
  <c r="J36" i="2"/>
  <c r="J23" i="2" s="1"/>
  <c r="K36" i="2"/>
  <c r="K23" i="2" s="1"/>
  <c r="I36" i="2"/>
  <c r="I23" i="2" s="1"/>
  <c r="M23" i="2"/>
  <c r="N43" i="2"/>
  <c r="N31" i="2"/>
  <c r="N34" i="2"/>
  <c r="N33" i="2"/>
  <c r="N32" i="2"/>
  <c r="N35" i="2"/>
  <c r="N36" i="2"/>
  <c r="O17" i="2"/>
  <c r="O30" i="2" s="1"/>
  <c r="N23" i="2" l="1"/>
  <c r="N19" i="2"/>
  <c r="N21" i="2"/>
  <c r="N22" i="2"/>
  <c r="N20" i="2"/>
  <c r="N18" i="2"/>
  <c r="P6" i="5"/>
  <c r="H12" i="2"/>
  <c r="I12" i="2"/>
  <c r="J12" i="2"/>
  <c r="K12" i="2"/>
  <c r="L12" i="2"/>
  <c r="M12" i="2"/>
  <c r="N12" i="2"/>
  <c r="P4" i="2"/>
  <c r="O12" i="2"/>
  <c r="O11" i="2"/>
  <c r="O10" i="2"/>
  <c r="O9" i="2"/>
  <c r="O8" i="2"/>
  <c r="O7" i="2"/>
  <c r="O6" i="2"/>
  <c r="O5" i="2"/>
  <c r="N44" i="2"/>
  <c r="N46" i="2"/>
  <c r="N45" i="2"/>
  <c r="N47" i="2"/>
  <c r="N48" i="2"/>
  <c r="L37" i="2"/>
  <c r="H37" i="2"/>
  <c r="H24" i="2" s="1"/>
  <c r="K37" i="2"/>
  <c r="K24" i="2" s="1"/>
  <c r="G50" i="2"/>
  <c r="J37" i="2"/>
  <c r="J24" i="2" s="1"/>
  <c r="M37" i="2"/>
  <c r="M24" i="2" s="1"/>
  <c r="I37" i="2"/>
  <c r="I24" i="2" s="1"/>
  <c r="M49" i="2"/>
  <c r="K49" i="2"/>
  <c r="I49" i="2"/>
  <c r="N49" i="2"/>
  <c r="L49" i="2"/>
  <c r="J49" i="2"/>
  <c r="H49" i="2"/>
  <c r="L24" i="2"/>
  <c r="G13" i="2"/>
  <c r="G25" i="2"/>
  <c r="G38" i="2" s="1"/>
  <c r="O38" i="2" s="1"/>
  <c r="N37" i="2"/>
  <c r="N24" i="2" s="1"/>
  <c r="O43" i="2"/>
  <c r="O31" i="2"/>
  <c r="O34" i="2"/>
  <c r="O32" i="2"/>
  <c r="O33" i="2"/>
  <c r="O35" i="2"/>
  <c r="O36" i="2"/>
  <c r="O37" i="2"/>
  <c r="P17" i="2"/>
  <c r="P30" i="2" s="1"/>
  <c r="O24" i="2" l="1"/>
  <c r="O22" i="2"/>
  <c r="O18" i="2"/>
  <c r="O23" i="2"/>
  <c r="O21" i="2"/>
  <c r="O20" i="2"/>
  <c r="O19" i="2"/>
  <c r="H13" i="2"/>
  <c r="I13" i="2"/>
  <c r="J13" i="2"/>
  <c r="K13" i="2"/>
  <c r="L13" i="2"/>
  <c r="M13" i="2"/>
  <c r="N13" i="2"/>
  <c r="O13" i="2"/>
  <c r="Q4" i="2"/>
  <c r="P13" i="2"/>
  <c r="P12" i="2"/>
  <c r="P11" i="2"/>
  <c r="P10" i="2"/>
  <c r="P9" i="2"/>
  <c r="P8" i="2"/>
  <c r="P7" i="2"/>
  <c r="P6" i="2"/>
  <c r="P5" i="2"/>
  <c r="O44" i="2"/>
  <c r="O46" i="2"/>
  <c r="O45" i="2"/>
  <c r="O47" i="2"/>
  <c r="O48" i="2"/>
  <c r="O49" i="2"/>
  <c r="O25" i="2"/>
  <c r="G14" i="2"/>
  <c r="P14" i="2" s="1"/>
  <c r="G26" i="2"/>
  <c r="G39" i="2" s="1"/>
  <c r="P39" i="2" s="1"/>
  <c r="O50" i="2"/>
  <c r="M50" i="2"/>
  <c r="K50" i="2"/>
  <c r="I50" i="2"/>
  <c r="N50" i="2"/>
  <c r="L50" i="2"/>
  <c r="J50" i="2"/>
  <c r="H50" i="2"/>
  <c r="J38" i="2"/>
  <c r="G51" i="2"/>
  <c r="L38" i="2"/>
  <c r="L25" i="2" s="1"/>
  <c r="H38" i="2"/>
  <c r="H25" i="2" s="1"/>
  <c r="K38" i="2"/>
  <c r="K25" i="2" s="1"/>
  <c r="N38" i="2"/>
  <c r="N25" i="2" s="1"/>
  <c r="M38" i="2"/>
  <c r="M25" i="2" s="1"/>
  <c r="I38" i="2"/>
  <c r="I25" i="2" s="1"/>
  <c r="J25" i="2"/>
  <c r="P31" i="2"/>
  <c r="P32" i="2"/>
  <c r="P34" i="2"/>
  <c r="P21" i="2" s="1"/>
  <c r="P33" i="2"/>
  <c r="P35" i="2"/>
  <c r="P36" i="2"/>
  <c r="P37" i="2"/>
  <c r="P38" i="2"/>
  <c r="P43" i="2"/>
  <c r="Q17" i="2"/>
  <c r="Q30" i="2" s="1"/>
  <c r="P25" i="2" l="1"/>
  <c r="P23" i="2"/>
  <c r="P19" i="2"/>
  <c r="P24" i="2"/>
  <c r="P22" i="2"/>
  <c r="P18" i="2"/>
  <c r="P20" i="2"/>
  <c r="H14" i="2"/>
  <c r="I14" i="2"/>
  <c r="J14" i="2"/>
  <c r="K14" i="2"/>
  <c r="L14" i="2"/>
  <c r="M14" i="2"/>
  <c r="N14" i="2"/>
  <c r="O14" i="2"/>
  <c r="Q14" i="2"/>
  <c r="Q13" i="2"/>
  <c r="Q12" i="2"/>
  <c r="Q11" i="2"/>
  <c r="Q10" i="2"/>
  <c r="Q9" i="2"/>
  <c r="Q8" i="2"/>
  <c r="Q7" i="2"/>
  <c r="Q6" i="2"/>
  <c r="Q5" i="2"/>
  <c r="P44" i="2"/>
  <c r="P46" i="2"/>
  <c r="P45" i="2"/>
  <c r="P47" i="2"/>
  <c r="P48" i="2"/>
  <c r="P49" i="2"/>
  <c r="P50" i="2"/>
  <c r="P26" i="2"/>
  <c r="G27" i="2"/>
  <c r="G40" i="2" s="1"/>
  <c r="O51" i="2"/>
  <c r="M51" i="2"/>
  <c r="K51" i="2"/>
  <c r="I51" i="2"/>
  <c r="P51" i="2"/>
  <c r="N51" i="2"/>
  <c r="L51" i="2"/>
  <c r="J51" i="2"/>
  <c r="H51" i="2"/>
  <c r="G52" i="2"/>
  <c r="H39" i="2"/>
  <c r="H26" i="2" s="1"/>
  <c r="I39" i="2"/>
  <c r="I26" i="2" s="1"/>
  <c r="N39" i="2"/>
  <c r="N26" i="2" s="1"/>
  <c r="J39" i="2"/>
  <c r="J26" i="2" s="1"/>
  <c r="O39" i="2"/>
  <c r="O26" i="2" s="1"/>
  <c r="K39" i="2"/>
  <c r="K26" i="2" s="1"/>
  <c r="L39" i="2"/>
  <c r="L26" i="2" s="1"/>
  <c r="M39" i="2"/>
  <c r="M26" i="2" s="1"/>
  <c r="Q31" i="2"/>
  <c r="Q34" i="2"/>
  <c r="Q21" i="2" s="1"/>
  <c r="Q32" i="2"/>
  <c r="Q33" i="2"/>
  <c r="Q35" i="2"/>
  <c r="Q22" i="2" s="1"/>
  <c r="Q36" i="2"/>
  <c r="Q23" i="2" s="1"/>
  <c r="Q37" i="2"/>
  <c r="Q24" i="2" s="1"/>
  <c r="Q38" i="2"/>
  <c r="Q25" i="2" s="1"/>
  <c r="Q39" i="2"/>
  <c r="Q26" i="2" s="1"/>
  <c r="Q43" i="2"/>
  <c r="Q20" i="2" l="1"/>
  <c r="Q19" i="2"/>
  <c r="Q18" i="2"/>
  <c r="Q44" i="2"/>
  <c r="Q46" i="2"/>
  <c r="Q45" i="2"/>
  <c r="Q47" i="2"/>
  <c r="Q48" i="2"/>
  <c r="Q49" i="2"/>
  <c r="Q50" i="2"/>
  <c r="Q51" i="2"/>
  <c r="J40" i="2"/>
  <c r="K40" i="2"/>
  <c r="K27" i="2" s="1"/>
  <c r="P40" i="2"/>
  <c r="P27" i="2" s="1"/>
  <c r="L40" i="2"/>
  <c r="L27" i="2" s="1"/>
  <c r="H40" i="2"/>
  <c r="H27" i="2" s="1"/>
  <c r="M40" i="2"/>
  <c r="M27" i="2" s="1"/>
  <c r="I40" i="2"/>
  <c r="I27" i="2" s="1"/>
  <c r="G53" i="2"/>
  <c r="N40" i="2"/>
  <c r="N27" i="2" s="1"/>
  <c r="O40" i="2"/>
  <c r="O27" i="2" s="1"/>
  <c r="J27" i="2"/>
  <c r="Q40" i="2"/>
  <c r="Q27" i="2" s="1"/>
  <c r="Q52" i="2"/>
  <c r="O52" i="2"/>
  <c r="M52" i="2"/>
  <c r="K52" i="2"/>
  <c r="I52" i="2"/>
  <c r="P52" i="2"/>
  <c r="N52" i="2"/>
  <c r="L52" i="2"/>
  <c r="J52" i="2"/>
  <c r="H52" i="2"/>
  <c r="Q53" i="2" l="1"/>
  <c r="O53" i="2"/>
  <c r="M53" i="2"/>
  <c r="K53" i="2"/>
  <c r="I53" i="2"/>
  <c r="P53" i="2"/>
  <c r="N53" i="2"/>
  <c r="L53" i="2"/>
  <c r="J53" i="2"/>
  <c r="H53" i="2"/>
</calcChain>
</file>

<file path=xl/sharedStrings.xml><?xml version="1.0" encoding="utf-8"?>
<sst xmlns="http://schemas.openxmlformats.org/spreadsheetml/2006/main" count="231" uniqueCount="90">
  <si>
    <r>
      <t>ε</t>
    </r>
    <r>
      <rPr>
        <vertAlign val="subscript"/>
        <sz val="11"/>
        <color theme="1"/>
        <rFont val="Calibri"/>
        <family val="2"/>
      </rPr>
      <t>max</t>
    </r>
  </si>
  <si>
    <t>[mm]</t>
  </si>
  <si>
    <t>[-]</t>
  </si>
  <si>
    <t>[kN]</t>
  </si>
  <si>
    <r>
      <t>[mm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</si>
  <si>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Rotation</t>
  </si>
  <si>
    <t>[‰]</t>
  </si>
  <si>
    <r>
      <t xml:space="preserve">Rotation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  <scheme val="minor"/>
      </rPr>
      <t>:</t>
    </r>
  </si>
  <si>
    <r>
      <t xml:space="preserve">Rotation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  <scheme val="minor"/>
      </rPr>
      <t>:</t>
    </r>
  </si>
  <si>
    <r>
      <t>Hor. Verformung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</si>
  <si>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t>max. Fläche A:</t>
  </si>
  <si>
    <t>b/t:</t>
  </si>
  <si>
    <t>[%]</t>
  </si>
  <si>
    <r>
      <t>[N/mm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</si>
  <si>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Beton</t>
  </si>
  <si>
    <t>andere Oberfläche</t>
  </si>
  <si>
    <r>
      <t>K</t>
    </r>
    <r>
      <rPr>
        <vertAlign val="subscript"/>
        <sz val="11"/>
        <color theme="1"/>
        <rFont val="Calibri"/>
        <family val="2"/>
        <scheme val="minor"/>
      </rPr>
      <t>f</t>
    </r>
  </si>
  <si>
    <r>
      <t xml:space="preserve">Rotation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:</t>
    </r>
  </si>
  <si>
    <t>D/t:</t>
  </si>
  <si>
    <t>A1</t>
  </si>
  <si>
    <t>A2</t>
  </si>
  <si>
    <t>A3</t>
  </si>
  <si>
    <t>B1</t>
  </si>
  <si>
    <t>B2</t>
  </si>
  <si>
    <t>B3</t>
  </si>
  <si>
    <t>--</t>
  </si>
  <si>
    <r>
      <t>K</t>
    </r>
    <r>
      <rPr>
        <vertAlign val="subscript"/>
        <sz val="11"/>
        <color theme="0"/>
        <rFont val="Calibri"/>
        <family val="2"/>
        <scheme val="minor"/>
      </rPr>
      <t>f</t>
    </r>
  </si>
  <si>
    <t>Dimensionnement LASTO®BLOCK F</t>
  </si>
  <si>
    <t>appuis rectangulaires</t>
  </si>
  <si>
    <t>appuis ronds</t>
  </si>
  <si>
    <t>Entrée</t>
  </si>
  <si>
    <t>Sortie</t>
  </si>
  <si>
    <t>Dimensions d'appui pour les tables</t>
  </si>
  <si>
    <t>Gradation:</t>
  </si>
  <si>
    <t>Épaisseur:</t>
  </si>
  <si>
    <t>Largeur minimum:</t>
  </si>
  <si>
    <t>Longueur minimum:</t>
  </si>
  <si>
    <t>Étape 1: Détermination des charges et des déformations en fonction de la statique</t>
  </si>
  <si>
    <t>Min. Ø:</t>
  </si>
  <si>
    <t>Étape 2: Choisir les dimensions de l'appui</t>
  </si>
  <si>
    <t>Étape 3: Calcul du facteur de forme S</t>
  </si>
  <si>
    <t>Étape 4: Détermination de la déformation verticlae</t>
  </si>
  <si>
    <t>Étape 5: Vérification de la limitation de rotation</t>
  </si>
  <si>
    <t>Étape 6: Vérification de la résistance au glissement</t>
  </si>
  <si>
    <r>
      <t>Max. charge verticale 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:</t>
    </r>
  </si>
  <si>
    <r>
      <t>Déformation horizontale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</si>
  <si>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t>Max. surface A:</t>
  </si>
  <si>
    <t>Largeur a:</t>
  </si>
  <si>
    <t>Longuer b:</t>
  </si>
  <si>
    <t>Trous</t>
  </si>
  <si>
    <t>Nombre:</t>
  </si>
  <si>
    <t>Diamètre:</t>
  </si>
  <si>
    <t>Surface:</t>
  </si>
  <si>
    <t>Vue en plan appui A:</t>
  </si>
  <si>
    <r>
      <t>Surfaces latérales non chargées A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:</t>
    </r>
  </si>
  <si>
    <t>Facteur de forme S:</t>
  </si>
  <si>
    <r>
      <t xml:space="preserve">Compression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:</t>
    </r>
  </si>
  <si>
    <r>
      <t xml:space="preserve">Déformation à cause de D.5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:</t>
    </r>
  </si>
  <si>
    <r>
      <t>Déformation verticale v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:</t>
    </r>
  </si>
  <si>
    <r>
      <t>Épaisseur restante t</t>
    </r>
    <r>
      <rPr>
        <vertAlign val="subscript"/>
        <sz val="11"/>
        <color theme="1"/>
        <rFont val="Calibri"/>
        <family val="2"/>
        <scheme val="minor"/>
      </rPr>
      <t>rest</t>
    </r>
    <r>
      <rPr>
        <sz val="11"/>
        <color theme="1"/>
        <rFont val="Calibri"/>
        <family val="2"/>
        <scheme val="minor"/>
      </rPr>
      <t>:</t>
    </r>
  </si>
  <si>
    <t>Condition de rotation:</t>
  </si>
  <si>
    <t>Coefficient de frottement:</t>
  </si>
  <si>
    <r>
      <t>Déformation horizontale admissible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</si>
  <si>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r>
      <t>Force de rappel F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:</t>
    </r>
  </si>
  <si>
    <t>Compression</t>
  </si>
  <si>
    <t>Charge maximale</t>
  </si>
  <si>
    <t>Surface</t>
  </si>
  <si>
    <t>Diamètre D:</t>
  </si>
  <si>
    <t>Vérifications</t>
  </si>
  <si>
    <t>Propriétés de l'appui</t>
  </si>
  <si>
    <t>Exigences</t>
  </si>
  <si>
    <t>Titre du projet:</t>
  </si>
  <si>
    <t>Nombre du projet:</t>
  </si>
  <si>
    <t>Chef de projet:</t>
  </si>
  <si>
    <t>Date:</t>
  </si>
  <si>
    <t>Vendeur:</t>
  </si>
  <si>
    <r>
      <t>Max. Compression σ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</si>
  <si>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Rotation maximale</t>
  </si>
  <si>
    <t>caoutchouc chloroprène CR.</t>
  </si>
  <si>
    <t>La base de la conception est basée sur les spécifications:</t>
  </si>
  <si>
    <t>30% de déviation du ressort à charge maximale</t>
  </si>
  <si>
    <t>Les déplacements horizontaux n'excèdent pas 70% de l'épaisseur du roulement.</t>
  </si>
  <si>
    <t>Limites de conception:</t>
  </si>
  <si>
    <t>4 &lt; b/t &lt; 25 ou 4 &lt; D/t &lt; 25</t>
  </si>
  <si>
    <t>Cette application permet d'utiliser des appuis en élastomères de type LASTO®BLOCK F en caoutchouc naturel NR et</t>
  </si>
  <si>
    <t>La rotation maximale n'entraîne pas de joint creux entre l'appui et la pièce adjacente.</t>
  </si>
  <si>
    <r>
      <t xml:space="preserve">Facteur de forme 0,50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5,00</t>
    </r>
  </si>
  <si>
    <r>
      <t xml:space="preserve">Épaisseur résiduelle 0,90*t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t</t>
    </r>
    <r>
      <rPr>
        <vertAlign val="subscript"/>
        <sz val="11"/>
        <color theme="1"/>
        <rFont val="Calibri"/>
        <family val="2"/>
        <scheme val="minor"/>
      </rPr>
      <t xml:space="preserve">Rest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0,70*t</t>
    </r>
  </si>
  <si>
    <t>Bienvenue dans le programme de conception mageba pour le dimensionnement des appuis en élastomères non renforcés.</t>
  </si>
  <si>
    <t xml:space="preserve">Information LASTO®BLOCK F dimensionnement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</si>
</sst>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22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2" xfId="0" applyNumberFormat="1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vertical="center"/>
      <protection hidden="1"/>
    </xf>
    <xf numFmtId="164" fontId="0" fillId="0" borderId="2" xfId="0" applyNumberFormat="1" applyFill="1" applyBorder="1" applyAlignment="1" applyProtection="1">
      <alignment vertical="center"/>
      <protection hidden="1"/>
    </xf>
    <xf numFmtId="164" fontId="0" fillId="0" borderId="3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2" fontId="9" fillId="3" borderId="0" xfId="1" applyNumberFormat="1" applyFont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164" fontId="0" fillId="4" borderId="0" xfId="0" applyNumberForma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165" fontId="0" fillId="0" borderId="15" xfId="0" applyNumberForma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2" fontId="9" fillId="3" borderId="0" xfId="1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4" fontId="0" fillId="0" borderId="15" xfId="0" applyNumberFormat="1" applyFill="1" applyBorder="1" applyAlignment="1" applyProtection="1">
      <alignment vertical="center"/>
      <protection hidden="1"/>
    </xf>
    <xf numFmtId="164" fontId="0" fillId="0" borderId="15" xfId="0" applyNumberFormat="1" applyBorder="1" applyAlignment="1" applyProtection="1">
      <alignment vertical="center"/>
      <protection hidden="1"/>
    </xf>
    <xf numFmtId="164" fontId="9" fillId="0" borderId="15" xfId="1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9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Fill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14" fontId="0" fillId="0" borderId="13" xfId="0" quotePrefix="1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13" xfId="0" quotePrefix="1" applyFont="1" applyBorder="1" applyAlignment="1" applyProtection="1">
      <alignment horizontal="center" vertical="center"/>
      <protection locked="0"/>
    </xf>
  </cellXfs>
  <cellStyles count="2">
    <cellStyle name="Gut" xfId="1" builtinId="26"/>
    <cellStyle name="Standard" xfId="0" builtinId="0"/>
  </cellStyles>
  <dxfs count="75"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85311</xdr:colOff>
      <xdr:row>0</xdr:row>
      <xdr:rowOff>103533</xdr:rowOff>
    </xdr:from>
    <xdr:to>
      <xdr:col>2</xdr:col>
      <xdr:colOff>1085022</xdr:colOff>
      <xdr:row>2</xdr:row>
      <xdr:rowOff>114314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86" y="103533"/>
          <a:ext cx="1475961" cy="496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32658</xdr:colOff>
      <xdr:row>53</xdr:row>
      <xdr:rowOff>226559</xdr:rowOff>
    </xdr:from>
    <xdr:to>
      <xdr:col>13</xdr:col>
      <xdr:colOff>104776</xdr:colOff>
      <xdr:row>72</xdr:row>
      <xdr:rowOff>11724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5958" y="11828009"/>
          <a:ext cx="4663168" cy="351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51708</xdr:colOff>
      <xdr:row>35</xdr:row>
      <xdr:rowOff>188459</xdr:rowOff>
    </xdr:from>
    <xdr:to>
      <xdr:col>12</xdr:col>
      <xdr:colOff>219076</xdr:colOff>
      <xdr:row>53</xdr:row>
      <xdr:rowOff>59349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008" y="8103734"/>
          <a:ext cx="4663168" cy="351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44825</xdr:colOff>
      <xdr:row>29</xdr:row>
      <xdr:rowOff>33616</xdr:rowOff>
    </xdr:from>
    <xdr:to>
      <xdr:col>5</xdr:col>
      <xdr:colOff>174683</xdr:colOff>
      <xdr:row>39</xdr:row>
      <xdr:rowOff>103791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850" y="6501091"/>
          <a:ext cx="3073083" cy="216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44825</xdr:colOff>
      <xdr:row>29</xdr:row>
      <xdr:rowOff>33616</xdr:rowOff>
    </xdr:from>
    <xdr:to>
      <xdr:col>5</xdr:col>
      <xdr:colOff>250883</xdr:colOff>
      <xdr:row>39</xdr:row>
      <xdr:rowOff>179991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850" y="6501091"/>
          <a:ext cx="3073083" cy="216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tabSelected="1" zoomScale="115" zoomScaleNormal="115" workbookViewId="0">
      <selection activeCell="I17" sqref="I17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18.7109375" customWidth="1"/>
    <col min="4" max="4" width="1.85546875" customWidth="1"/>
  </cols>
  <sheetData>
    <row r="1" spans="2:11" x14ac:dyDescent="0.25">
      <c r="B1" s="70"/>
      <c r="C1" s="71"/>
      <c r="D1" s="70"/>
      <c r="E1" s="71"/>
      <c r="F1" s="71"/>
      <c r="G1" s="71"/>
      <c r="H1" s="71"/>
      <c r="I1" s="71"/>
      <c r="J1" s="71"/>
      <c r="K1" s="72"/>
    </row>
    <row r="2" spans="2:11" ht="23.25" x14ac:dyDescent="0.35">
      <c r="B2" s="73"/>
      <c r="C2" s="74"/>
      <c r="D2" s="79" t="s">
        <v>89</v>
      </c>
      <c r="E2" s="80"/>
      <c r="F2" s="80"/>
      <c r="G2" s="80"/>
      <c r="H2" s="80"/>
      <c r="I2" s="80"/>
      <c r="J2" s="80"/>
      <c r="K2" s="81"/>
    </row>
    <row r="3" spans="2:11" x14ac:dyDescent="0.25">
      <c r="B3" s="75"/>
      <c r="C3" s="76"/>
      <c r="D3" s="75"/>
      <c r="E3" s="76"/>
      <c r="F3" s="76"/>
      <c r="G3" s="76"/>
      <c r="H3" s="76"/>
      <c r="I3" s="76"/>
      <c r="J3" s="76"/>
      <c r="K3" s="77"/>
    </row>
    <row r="4" spans="2:11" x14ac:dyDescent="0.25">
      <c r="B4" s="74"/>
      <c r="C4" s="74"/>
      <c r="D4" s="74"/>
      <c r="E4" s="74"/>
      <c r="F4" s="74"/>
      <c r="G4" s="74"/>
      <c r="H4" s="74"/>
      <c r="I4" s="74"/>
      <c r="J4" s="74"/>
      <c r="K4" s="74"/>
    </row>
    <row r="6" spans="2:11" x14ac:dyDescent="0.25">
      <c r="B6" s="78"/>
      <c r="C6" s="2" t="s">
        <v>88</v>
      </c>
    </row>
    <row r="7" spans="2:11" x14ac:dyDescent="0.25">
      <c r="C7" s="2" t="s">
        <v>84</v>
      </c>
    </row>
    <row r="8" spans="2:11" x14ac:dyDescent="0.25">
      <c r="C8" s="2" t="s">
        <v>78</v>
      </c>
    </row>
    <row r="9" spans="2:11" x14ac:dyDescent="0.25">
      <c r="C9" s="2" t="s">
        <v>79</v>
      </c>
    </row>
    <row r="10" spans="2:11" x14ac:dyDescent="0.25">
      <c r="C10" s="2" t="s">
        <v>80</v>
      </c>
    </row>
    <row r="11" spans="2:11" x14ac:dyDescent="0.25">
      <c r="C11" s="2" t="s">
        <v>85</v>
      </c>
    </row>
    <row r="12" spans="2:11" x14ac:dyDescent="0.25">
      <c r="C12" s="2" t="s">
        <v>81</v>
      </c>
    </row>
    <row r="13" spans="2:11" x14ac:dyDescent="0.25">
      <c r="C13" s="2" t="s">
        <v>82</v>
      </c>
    </row>
    <row r="14" spans="2:11" x14ac:dyDescent="0.25">
      <c r="C14" s="2" t="s">
        <v>86</v>
      </c>
    </row>
    <row r="15" spans="2:11" x14ac:dyDescent="0.25">
      <c r="C15" s="2" t="s">
        <v>83</v>
      </c>
    </row>
    <row r="16" spans="2:11" ht="18" x14ac:dyDescent="0.25">
      <c r="C16" s="2" t="s">
        <v>87</v>
      </c>
    </row>
  </sheetData>
  <mergeCells count="1">
    <mergeCell ref="D2:K2"/>
  </mergeCells>
  <pageMargins left="0.31496062992125984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57" zoomScaleNormal="100" workbookViewId="0">
      <selection activeCell="A80" sqref="A80"/>
    </sheetView>
  </sheetViews>
  <sheetFormatPr baseColWidth="10" defaultRowHeight="15" x14ac:dyDescent="0.25"/>
  <cols>
    <col min="1" max="1" width="37.28515625" style="2" bestFit="1" customWidth="1"/>
    <col min="2" max="2" width="9.5703125" style="2" customWidth="1"/>
    <col min="3" max="3" width="16.5703125" style="2" customWidth="1"/>
    <col min="4" max="6" width="11.42578125" style="2"/>
    <col min="7" max="17" width="6.5703125" style="2" customWidth="1"/>
    <col min="18" max="16384" width="11.42578125" style="2"/>
  </cols>
  <sheetData>
    <row r="1" spans="1:17" ht="40.5" customHeight="1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40.5" customHeight="1" thickBot="1" x14ac:dyDescent="0.3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40.5" customHeight="1" thickBot="1" x14ac:dyDescent="0.3">
      <c r="A3" s="85" t="s">
        <v>30</v>
      </c>
      <c r="B3" s="85"/>
      <c r="C3" s="85"/>
      <c r="D3" s="3"/>
      <c r="E3" s="86" t="s">
        <v>31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8" x14ac:dyDescent="0.25">
      <c r="A4" s="4" t="s">
        <v>0</v>
      </c>
      <c r="B4" s="2">
        <v>0.3</v>
      </c>
      <c r="C4" s="2" t="s">
        <v>2</v>
      </c>
      <c r="D4" s="5"/>
      <c r="E4" s="6" t="s">
        <v>64</v>
      </c>
      <c r="F4" s="7"/>
      <c r="G4" s="7"/>
      <c r="H4" s="8">
        <f>B10</f>
        <v>200</v>
      </c>
      <c r="I4" s="9">
        <f t="shared" ref="I4:Q4" si="0">H4+$B$11</f>
        <v>300</v>
      </c>
      <c r="J4" s="9">
        <f t="shared" si="0"/>
        <v>400</v>
      </c>
      <c r="K4" s="9">
        <f t="shared" si="0"/>
        <v>500</v>
      </c>
      <c r="L4" s="9">
        <f t="shared" si="0"/>
        <v>600</v>
      </c>
      <c r="M4" s="9">
        <f t="shared" si="0"/>
        <v>700</v>
      </c>
      <c r="N4" s="9">
        <f t="shared" si="0"/>
        <v>800</v>
      </c>
      <c r="O4" s="9">
        <f t="shared" si="0"/>
        <v>900</v>
      </c>
      <c r="P4" s="9">
        <f t="shared" si="0"/>
        <v>1000</v>
      </c>
      <c r="Q4" s="10">
        <f t="shared" si="0"/>
        <v>1100</v>
      </c>
    </row>
    <row r="5" spans="1:17" x14ac:dyDescent="0.25">
      <c r="E5" s="11"/>
      <c r="F5" s="12"/>
      <c r="G5" s="13">
        <f>B8</f>
        <v>200</v>
      </c>
      <c r="H5" s="14">
        <f>ROUNDDOWN(MIN(($G5*H$4-$B$27*$B$28^2*PI()/4)/(2*$B$7*(H$4+$G5)+$B$27*$B$28*PI()*$B$7)*(13*$B$4^2+4.5*$B$4+0.8)+54.7*$B$4^2-10.8*$B$4+1.7,20),1)</f>
        <v>8</v>
      </c>
      <c r="I5" s="14">
        <f t="shared" ref="I5:Q14" si="1">ROUNDDOWN(MIN(($G5*I$4-$B$27*$B$28^2*PI()/4)/(2*$B$7*(I$4+$G5)+$B$27*$B$28*PI()*$B$7)*(13*$B$4^2+4.5*$B$4+0.8)+54.7*$B$4^2-10.8*$B$4+1.7,20),1)</f>
        <v>9.1</v>
      </c>
      <c r="J5" s="14">
        <f t="shared" si="1"/>
        <v>9.9</v>
      </c>
      <c r="K5" s="14">
        <f t="shared" si="1"/>
        <v>10.5</v>
      </c>
      <c r="L5" s="14">
        <f t="shared" si="1"/>
        <v>10.9</v>
      </c>
      <c r="M5" s="14">
        <f t="shared" si="1"/>
        <v>11.3</v>
      </c>
      <c r="N5" s="14">
        <f t="shared" si="1"/>
        <v>11.6</v>
      </c>
      <c r="O5" s="14">
        <f t="shared" si="1"/>
        <v>11.8</v>
      </c>
      <c r="P5" s="14">
        <f t="shared" si="1"/>
        <v>12</v>
      </c>
      <c r="Q5" s="15">
        <f t="shared" si="1"/>
        <v>12.2</v>
      </c>
    </row>
    <row r="6" spans="1:17" x14ac:dyDescent="0.25">
      <c r="A6" s="82" t="s">
        <v>32</v>
      </c>
      <c r="B6" s="82"/>
      <c r="C6" s="82"/>
      <c r="E6" s="11"/>
      <c r="F6" s="12"/>
      <c r="G6" s="16">
        <f t="shared" ref="G6:G14" si="2">G5+$B$9</f>
        <v>210</v>
      </c>
      <c r="H6" s="14">
        <f t="shared" ref="H6:H14" si="3">ROUNDDOWN(MIN(($G6*H$4-$B$27*$B$28^2*PI()/4)/(2*$B$7*(H$4+$G6)+$B$27*$B$28*PI()*$B$7)*(13*$B$4^2+4.5*$B$4+0.8)+54.7*$B$4^2-10.8*$B$4+1.7,20),1)</f>
        <v>8.1</v>
      </c>
      <c r="I6" s="14">
        <f t="shared" si="1"/>
        <v>9.3000000000000007</v>
      </c>
      <c r="J6" s="14">
        <f t="shared" si="1"/>
        <v>10.1</v>
      </c>
      <c r="K6" s="14">
        <f t="shared" si="1"/>
        <v>10.8</v>
      </c>
      <c r="L6" s="14">
        <f t="shared" si="1"/>
        <v>11.2</v>
      </c>
      <c r="M6" s="14">
        <f t="shared" si="1"/>
        <v>11.6</v>
      </c>
      <c r="N6" s="14">
        <f t="shared" si="1"/>
        <v>11.9</v>
      </c>
      <c r="O6" s="14">
        <f t="shared" si="1"/>
        <v>12.2</v>
      </c>
      <c r="P6" s="14">
        <f t="shared" si="1"/>
        <v>12.4</v>
      </c>
      <c r="Q6" s="15">
        <f t="shared" si="1"/>
        <v>12.6</v>
      </c>
    </row>
    <row r="7" spans="1:17" x14ac:dyDescent="0.25">
      <c r="A7" s="2" t="s">
        <v>34</v>
      </c>
      <c r="B7" s="1">
        <v>30</v>
      </c>
      <c r="C7" s="5" t="s">
        <v>1</v>
      </c>
      <c r="E7" s="11"/>
      <c r="F7" s="12"/>
      <c r="G7" s="16">
        <f t="shared" si="2"/>
        <v>220</v>
      </c>
      <c r="H7" s="14">
        <f t="shared" si="3"/>
        <v>8.1999999999999993</v>
      </c>
      <c r="I7" s="14">
        <f t="shared" si="1"/>
        <v>9.5</v>
      </c>
      <c r="J7" s="14">
        <f t="shared" si="1"/>
        <v>10.4</v>
      </c>
      <c r="K7" s="14">
        <f t="shared" si="1"/>
        <v>11</v>
      </c>
      <c r="L7" s="14">
        <f t="shared" si="1"/>
        <v>11.5</v>
      </c>
      <c r="M7" s="14">
        <f t="shared" si="1"/>
        <v>11.9</v>
      </c>
      <c r="N7" s="14">
        <f t="shared" si="1"/>
        <v>12.3</v>
      </c>
      <c r="O7" s="14">
        <f t="shared" si="1"/>
        <v>12.5</v>
      </c>
      <c r="P7" s="14">
        <f t="shared" si="1"/>
        <v>12.8</v>
      </c>
      <c r="Q7" s="15">
        <f t="shared" si="1"/>
        <v>13</v>
      </c>
    </row>
    <row r="8" spans="1:17" x14ac:dyDescent="0.25">
      <c r="A8" s="2" t="s">
        <v>35</v>
      </c>
      <c r="B8" s="1">
        <v>200</v>
      </c>
      <c r="C8" s="2" t="s">
        <v>1</v>
      </c>
      <c r="E8" s="11"/>
      <c r="F8" s="12"/>
      <c r="G8" s="16">
        <f t="shared" si="2"/>
        <v>230</v>
      </c>
      <c r="H8" s="14">
        <f t="shared" si="3"/>
        <v>8.4</v>
      </c>
      <c r="I8" s="14">
        <f t="shared" si="1"/>
        <v>9.6999999999999993</v>
      </c>
      <c r="J8" s="14">
        <f>ROUNDDOWN(MIN(($G8*J$4-$B$27*$B$28^2*PI()/4)/(2*$B$7*(J$4+$G8)+$B$27*$B$28*PI()*$B$7)*(13*$B$4^2+4.5*$B$4+0.8)+54.7*$B$4^2-10.8*$B$4+1.7,20),1)</f>
        <v>10.6</v>
      </c>
      <c r="K8" s="14">
        <f t="shared" si="1"/>
        <v>11.3</v>
      </c>
      <c r="L8" s="14">
        <f t="shared" si="1"/>
        <v>11.8</v>
      </c>
      <c r="M8" s="14">
        <f t="shared" si="1"/>
        <v>12.2</v>
      </c>
      <c r="N8" s="14">
        <f t="shared" si="1"/>
        <v>12.6</v>
      </c>
      <c r="O8" s="14">
        <f t="shared" si="1"/>
        <v>12.9</v>
      </c>
      <c r="P8" s="14">
        <f t="shared" si="1"/>
        <v>13.1</v>
      </c>
      <c r="Q8" s="15">
        <f t="shared" si="1"/>
        <v>13.3</v>
      </c>
    </row>
    <row r="9" spans="1:17" x14ac:dyDescent="0.25">
      <c r="A9" s="2" t="s">
        <v>33</v>
      </c>
      <c r="B9" s="1">
        <v>10</v>
      </c>
      <c r="C9" s="2" t="s">
        <v>1</v>
      </c>
      <c r="E9" s="11"/>
      <c r="F9" s="12"/>
      <c r="G9" s="16">
        <f t="shared" si="2"/>
        <v>240</v>
      </c>
      <c r="H9" s="14">
        <f t="shared" si="3"/>
        <v>8.5</v>
      </c>
      <c r="I9" s="14">
        <f t="shared" si="1"/>
        <v>9.8000000000000007</v>
      </c>
      <c r="J9" s="14">
        <f t="shared" si="1"/>
        <v>10.8</v>
      </c>
      <c r="K9" s="14">
        <f t="shared" si="1"/>
        <v>11.5</v>
      </c>
      <c r="L9" s="14">
        <f t="shared" si="1"/>
        <v>12.1</v>
      </c>
      <c r="M9" s="14">
        <f t="shared" si="1"/>
        <v>12.5</v>
      </c>
      <c r="N9" s="14">
        <f t="shared" si="1"/>
        <v>12.9</v>
      </c>
      <c r="O9" s="14">
        <f t="shared" si="1"/>
        <v>13.2</v>
      </c>
      <c r="P9" s="14">
        <f t="shared" si="1"/>
        <v>13.5</v>
      </c>
      <c r="Q9" s="15">
        <f t="shared" si="1"/>
        <v>13.7</v>
      </c>
    </row>
    <row r="10" spans="1:17" x14ac:dyDescent="0.25">
      <c r="A10" s="2" t="s">
        <v>36</v>
      </c>
      <c r="B10" s="1">
        <v>200</v>
      </c>
      <c r="C10" s="2" t="s">
        <v>1</v>
      </c>
      <c r="E10" s="11"/>
      <c r="F10" s="12"/>
      <c r="G10" s="16">
        <f t="shared" si="2"/>
        <v>250</v>
      </c>
      <c r="H10" s="14">
        <f t="shared" si="3"/>
        <v>8.6</v>
      </c>
      <c r="I10" s="14">
        <f t="shared" si="1"/>
        <v>10</v>
      </c>
      <c r="J10" s="14">
        <f t="shared" si="1"/>
        <v>11</v>
      </c>
      <c r="K10" s="14">
        <f t="shared" si="1"/>
        <v>11.8</v>
      </c>
      <c r="L10" s="14">
        <f t="shared" si="1"/>
        <v>12.3</v>
      </c>
      <c r="M10" s="14">
        <f t="shared" si="1"/>
        <v>12.8</v>
      </c>
      <c r="N10" s="14">
        <f t="shared" si="1"/>
        <v>13.2</v>
      </c>
      <c r="O10" s="14">
        <f t="shared" si="1"/>
        <v>13.5</v>
      </c>
      <c r="P10" s="14">
        <f t="shared" si="1"/>
        <v>13.8</v>
      </c>
      <c r="Q10" s="15">
        <f t="shared" si="1"/>
        <v>14.1</v>
      </c>
    </row>
    <row r="11" spans="1:17" x14ac:dyDescent="0.25">
      <c r="A11" s="2" t="s">
        <v>33</v>
      </c>
      <c r="B11" s="1">
        <v>100</v>
      </c>
      <c r="C11" s="2" t="s">
        <v>1</v>
      </c>
      <c r="E11" s="11"/>
      <c r="F11" s="12"/>
      <c r="G11" s="16">
        <f t="shared" si="2"/>
        <v>260</v>
      </c>
      <c r="H11" s="14">
        <f t="shared" si="3"/>
        <v>8.6999999999999993</v>
      </c>
      <c r="I11" s="14">
        <f t="shared" si="1"/>
        <v>10.199999999999999</v>
      </c>
      <c r="J11" s="14">
        <f t="shared" si="1"/>
        <v>11.2</v>
      </c>
      <c r="K11" s="14">
        <f t="shared" si="1"/>
        <v>12</v>
      </c>
      <c r="L11" s="14">
        <f t="shared" si="1"/>
        <v>12.6</v>
      </c>
      <c r="M11" s="14">
        <f t="shared" si="1"/>
        <v>13.1</v>
      </c>
      <c r="N11" s="14">
        <f t="shared" si="1"/>
        <v>13.5</v>
      </c>
      <c r="O11" s="14">
        <f t="shared" si="1"/>
        <v>13.9</v>
      </c>
      <c r="P11" s="14">
        <f t="shared" si="1"/>
        <v>14.2</v>
      </c>
      <c r="Q11" s="15">
        <f t="shared" si="1"/>
        <v>14.4</v>
      </c>
    </row>
    <row r="12" spans="1:17" x14ac:dyDescent="0.25">
      <c r="B12" s="5"/>
      <c r="E12" s="11"/>
      <c r="F12" s="12"/>
      <c r="G12" s="16">
        <f t="shared" si="2"/>
        <v>270</v>
      </c>
      <c r="H12" s="14">
        <f t="shared" si="3"/>
        <v>8.8000000000000007</v>
      </c>
      <c r="I12" s="14">
        <f t="shared" si="1"/>
        <v>10.3</v>
      </c>
      <c r="J12" s="14">
        <f t="shared" si="1"/>
        <v>11.4</v>
      </c>
      <c r="K12" s="14">
        <f t="shared" si="1"/>
        <v>12.2</v>
      </c>
      <c r="L12" s="14">
        <f t="shared" si="1"/>
        <v>12.9</v>
      </c>
      <c r="M12" s="14">
        <f t="shared" si="1"/>
        <v>13.4</v>
      </c>
      <c r="N12" s="14">
        <f t="shared" si="1"/>
        <v>13.8</v>
      </c>
      <c r="O12" s="14">
        <f t="shared" si="1"/>
        <v>14.2</v>
      </c>
      <c r="P12" s="14">
        <f t="shared" si="1"/>
        <v>14.5</v>
      </c>
      <c r="Q12" s="15">
        <f t="shared" si="1"/>
        <v>14.8</v>
      </c>
    </row>
    <row r="13" spans="1:17" x14ac:dyDescent="0.25">
      <c r="E13" s="11"/>
      <c r="F13" s="12"/>
      <c r="G13" s="16">
        <f>G12+$B$9</f>
        <v>280</v>
      </c>
      <c r="H13" s="14">
        <f t="shared" si="3"/>
        <v>8.9</v>
      </c>
      <c r="I13" s="14">
        <f t="shared" si="1"/>
        <v>10.5</v>
      </c>
      <c r="J13" s="14">
        <f t="shared" si="1"/>
        <v>11.6</v>
      </c>
      <c r="K13" s="14">
        <f t="shared" si="1"/>
        <v>12.4</v>
      </c>
      <c r="L13" s="14">
        <f t="shared" si="1"/>
        <v>13.1</v>
      </c>
      <c r="M13" s="14">
        <f t="shared" si="1"/>
        <v>13.7</v>
      </c>
      <c r="N13" s="14">
        <f t="shared" si="1"/>
        <v>14.1</v>
      </c>
      <c r="O13" s="14">
        <f t="shared" si="1"/>
        <v>14.5</v>
      </c>
      <c r="P13" s="14">
        <f t="shared" si="1"/>
        <v>14.8</v>
      </c>
      <c r="Q13" s="15">
        <f t="shared" si="1"/>
        <v>15.1</v>
      </c>
    </row>
    <row r="14" spans="1:17" ht="15.75" thickBot="1" x14ac:dyDescent="0.3">
      <c r="A14" s="89" t="s">
        <v>37</v>
      </c>
      <c r="B14" s="89"/>
      <c r="C14" s="89"/>
      <c r="E14" s="17"/>
      <c r="F14" s="18"/>
      <c r="G14" s="19">
        <f t="shared" si="2"/>
        <v>290</v>
      </c>
      <c r="H14" s="20">
        <f t="shared" si="3"/>
        <v>9</v>
      </c>
      <c r="I14" s="20">
        <f t="shared" si="1"/>
        <v>10.6</v>
      </c>
      <c r="J14" s="20">
        <f t="shared" si="1"/>
        <v>11.8</v>
      </c>
      <c r="K14" s="20">
        <f t="shared" si="1"/>
        <v>12.7</v>
      </c>
      <c r="L14" s="20">
        <f t="shared" si="1"/>
        <v>13.4</v>
      </c>
      <c r="M14" s="20">
        <f t="shared" si="1"/>
        <v>13.9</v>
      </c>
      <c r="N14" s="20">
        <f t="shared" si="1"/>
        <v>14.4</v>
      </c>
      <c r="O14" s="20">
        <f t="shared" si="1"/>
        <v>14.8</v>
      </c>
      <c r="P14" s="20">
        <f t="shared" si="1"/>
        <v>15.1</v>
      </c>
      <c r="Q14" s="21">
        <f t="shared" si="1"/>
        <v>15.4</v>
      </c>
    </row>
    <row r="15" spans="1:17" x14ac:dyDescent="0.25">
      <c r="A15" s="89"/>
      <c r="B15" s="89"/>
      <c r="C15" s="89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2"/>
    </row>
    <row r="16" spans="1:17" ht="18.75" thickBot="1" x14ac:dyDescent="0.3">
      <c r="A16" s="2" t="s">
        <v>44</v>
      </c>
      <c r="B16" s="1">
        <v>1000</v>
      </c>
      <c r="C16" s="5" t="s">
        <v>3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2"/>
    </row>
    <row r="17" spans="1:17" ht="18" x14ac:dyDescent="0.25">
      <c r="A17" s="2" t="s">
        <v>7</v>
      </c>
      <c r="B17" s="1">
        <v>15</v>
      </c>
      <c r="C17" s="2" t="s">
        <v>6</v>
      </c>
      <c r="D17" s="5"/>
      <c r="E17" s="6" t="s">
        <v>65</v>
      </c>
      <c r="F17" s="7"/>
      <c r="G17" s="23"/>
      <c r="H17" s="9">
        <f t="shared" ref="H17:Q17" si="4">H4</f>
        <v>200</v>
      </c>
      <c r="I17" s="9">
        <f t="shared" si="4"/>
        <v>300</v>
      </c>
      <c r="J17" s="9">
        <f t="shared" si="4"/>
        <v>400</v>
      </c>
      <c r="K17" s="9">
        <f t="shared" si="4"/>
        <v>500</v>
      </c>
      <c r="L17" s="9">
        <f t="shared" si="4"/>
        <v>600</v>
      </c>
      <c r="M17" s="9">
        <f t="shared" si="4"/>
        <v>700</v>
      </c>
      <c r="N17" s="9">
        <f t="shared" si="4"/>
        <v>800</v>
      </c>
      <c r="O17" s="9">
        <f t="shared" si="4"/>
        <v>900</v>
      </c>
      <c r="P17" s="9">
        <f t="shared" si="4"/>
        <v>1000</v>
      </c>
      <c r="Q17" s="10">
        <f t="shared" si="4"/>
        <v>1100</v>
      </c>
    </row>
    <row r="18" spans="1:17" ht="18" x14ac:dyDescent="0.25">
      <c r="A18" s="2" t="s">
        <v>8</v>
      </c>
      <c r="B18" s="1">
        <v>15</v>
      </c>
      <c r="C18" s="2" t="s">
        <v>6</v>
      </c>
      <c r="E18" s="11"/>
      <c r="F18" s="12"/>
      <c r="G18" s="16">
        <f t="shared" ref="G18:G25" si="5">G5</f>
        <v>200</v>
      </c>
      <c r="H18" s="14">
        <f>ROUNDDOWN(H5*H31/1000,1)</f>
        <v>309.89999999999998</v>
      </c>
      <c r="I18" s="14">
        <f t="shared" ref="I18:Q18" si="6">ROUNDDOWN(I5*I31/1000,1)</f>
        <v>534.5</v>
      </c>
      <c r="J18" s="14">
        <f t="shared" si="6"/>
        <v>779.5</v>
      </c>
      <c r="K18" s="14">
        <f t="shared" si="6"/>
        <v>1036.8</v>
      </c>
      <c r="L18" s="14">
        <f t="shared" si="6"/>
        <v>1294.3</v>
      </c>
      <c r="M18" s="14">
        <f t="shared" si="6"/>
        <v>1567.8</v>
      </c>
      <c r="N18" s="14">
        <f t="shared" si="6"/>
        <v>1841.4</v>
      </c>
      <c r="O18" s="14">
        <f t="shared" si="6"/>
        <v>2109.1</v>
      </c>
      <c r="P18" s="14">
        <f t="shared" si="6"/>
        <v>2384.9</v>
      </c>
      <c r="Q18" s="15">
        <f t="shared" si="6"/>
        <v>2668.6</v>
      </c>
    </row>
    <row r="19" spans="1:17" ht="18" x14ac:dyDescent="0.25">
      <c r="A19" s="2" t="s">
        <v>45</v>
      </c>
      <c r="B19" s="1">
        <v>0</v>
      </c>
      <c r="C19" s="2" t="s">
        <v>1</v>
      </c>
      <c r="E19" s="11"/>
      <c r="F19" s="12"/>
      <c r="G19" s="16">
        <f t="shared" si="5"/>
        <v>210</v>
      </c>
      <c r="H19" s="14">
        <f t="shared" ref="H19:Q19" si="7">ROUNDDOWN(H6*H32/1000,1)</f>
        <v>330</v>
      </c>
      <c r="I19" s="14">
        <f t="shared" si="7"/>
        <v>574.20000000000005</v>
      </c>
      <c r="J19" s="14">
        <f t="shared" si="7"/>
        <v>835.7</v>
      </c>
      <c r="K19" s="14">
        <f t="shared" si="7"/>
        <v>1120.4000000000001</v>
      </c>
      <c r="L19" s="14">
        <f t="shared" si="7"/>
        <v>1397.1</v>
      </c>
      <c r="M19" s="14">
        <f t="shared" si="7"/>
        <v>1690.6</v>
      </c>
      <c r="N19" s="14">
        <f t="shared" si="7"/>
        <v>1984.2</v>
      </c>
      <c r="O19" s="14">
        <f t="shared" si="7"/>
        <v>2290.4</v>
      </c>
      <c r="P19" s="14">
        <f t="shared" si="7"/>
        <v>2588.4</v>
      </c>
      <c r="Q19" s="15">
        <f t="shared" si="7"/>
        <v>2894.7</v>
      </c>
    </row>
    <row r="20" spans="1:17" ht="17.25" x14ac:dyDescent="0.25">
      <c r="A20" s="2" t="s">
        <v>46</v>
      </c>
      <c r="B20" s="1">
        <v>100000</v>
      </c>
      <c r="C20" s="5" t="s">
        <v>4</v>
      </c>
      <c r="E20" s="11"/>
      <c r="F20" s="12"/>
      <c r="G20" s="16">
        <f t="shared" si="5"/>
        <v>220</v>
      </c>
      <c r="H20" s="14">
        <f t="shared" ref="H20:Q20" si="8">ROUNDDOWN(H7*H33/1000,1)</f>
        <v>350.4</v>
      </c>
      <c r="I20" s="14">
        <f t="shared" si="8"/>
        <v>615</v>
      </c>
      <c r="J20" s="14">
        <f t="shared" si="8"/>
        <v>902.1</v>
      </c>
      <c r="K20" s="14">
        <f t="shared" si="8"/>
        <v>1196.0999999999999</v>
      </c>
      <c r="L20" s="14">
        <f t="shared" si="8"/>
        <v>1503.5</v>
      </c>
      <c r="M20" s="14">
        <f t="shared" si="8"/>
        <v>1817.6</v>
      </c>
      <c r="N20" s="14">
        <f t="shared" si="8"/>
        <v>2149.3000000000002</v>
      </c>
      <c r="O20" s="14">
        <f t="shared" si="8"/>
        <v>2459.1999999999998</v>
      </c>
      <c r="P20" s="14">
        <f t="shared" si="8"/>
        <v>2799.9</v>
      </c>
      <c r="Q20" s="15">
        <f t="shared" si="8"/>
        <v>3129.6</v>
      </c>
    </row>
    <row r="21" spans="1:17" x14ac:dyDescent="0.25">
      <c r="E21" s="11"/>
      <c r="F21" s="12"/>
      <c r="G21" s="16">
        <f t="shared" si="5"/>
        <v>230</v>
      </c>
      <c r="H21" s="14">
        <f t="shared" ref="H21:Q21" si="9">ROUNDDOWN(H8*H34/1000,1)</f>
        <v>375.8</v>
      </c>
      <c r="I21" s="14">
        <f t="shared" si="9"/>
        <v>657.1</v>
      </c>
      <c r="J21" s="14">
        <f t="shared" si="9"/>
        <v>961.8</v>
      </c>
      <c r="K21" s="14">
        <f t="shared" si="9"/>
        <v>1285.3</v>
      </c>
      <c r="L21" s="14">
        <f t="shared" si="9"/>
        <v>1613.5</v>
      </c>
      <c r="M21" s="14">
        <f t="shared" si="9"/>
        <v>1948.8</v>
      </c>
      <c r="N21" s="14">
        <f t="shared" si="9"/>
        <v>2302.5</v>
      </c>
      <c r="O21" s="14">
        <f t="shared" si="9"/>
        <v>2654</v>
      </c>
      <c r="P21" s="14">
        <f t="shared" si="9"/>
        <v>2996.5</v>
      </c>
      <c r="Q21" s="15">
        <f t="shared" si="9"/>
        <v>3348.1</v>
      </c>
    </row>
    <row r="22" spans="1:17" x14ac:dyDescent="0.25">
      <c r="E22" s="11"/>
      <c r="F22" s="12"/>
      <c r="G22" s="16">
        <f t="shared" si="5"/>
        <v>240</v>
      </c>
      <c r="H22" s="14">
        <f t="shared" ref="H22:Q22" si="10">ROUNDDOWN(H9*H35/1000,1)</f>
        <v>397.3</v>
      </c>
      <c r="I22" s="14">
        <f t="shared" si="10"/>
        <v>693.2</v>
      </c>
      <c r="J22" s="14">
        <f t="shared" si="10"/>
        <v>1023.2</v>
      </c>
      <c r="K22" s="14">
        <f t="shared" si="10"/>
        <v>1365.5</v>
      </c>
      <c r="L22" s="14">
        <f t="shared" si="10"/>
        <v>1727.1</v>
      </c>
      <c r="M22" s="14">
        <f t="shared" si="10"/>
        <v>2084.1999999999998</v>
      </c>
      <c r="N22" s="14">
        <f t="shared" si="10"/>
        <v>2460.5</v>
      </c>
      <c r="O22" s="14">
        <f t="shared" si="10"/>
        <v>2834.6</v>
      </c>
      <c r="P22" s="14">
        <f t="shared" si="10"/>
        <v>3223</v>
      </c>
      <c r="Q22" s="15">
        <f t="shared" si="10"/>
        <v>3599.5</v>
      </c>
    </row>
    <row r="23" spans="1:17" x14ac:dyDescent="0.25">
      <c r="A23" s="82" t="s">
        <v>39</v>
      </c>
      <c r="B23" s="82"/>
      <c r="C23" s="82"/>
      <c r="E23" s="11"/>
      <c r="F23" s="12"/>
      <c r="G23" s="16">
        <f t="shared" si="5"/>
        <v>250</v>
      </c>
      <c r="H23" s="14">
        <f t="shared" ref="H23:Q23" si="11">ROUNDDOWN(H10*H36/1000,1)</f>
        <v>419.1</v>
      </c>
      <c r="I23" s="14">
        <f t="shared" si="11"/>
        <v>737.4</v>
      </c>
      <c r="J23" s="14">
        <f t="shared" si="11"/>
        <v>1086.0999999999999</v>
      </c>
      <c r="K23" s="14">
        <f t="shared" si="11"/>
        <v>1460.1</v>
      </c>
      <c r="L23" s="14">
        <f t="shared" si="11"/>
        <v>1829.5</v>
      </c>
      <c r="M23" s="14">
        <f t="shared" si="11"/>
        <v>2223.9</v>
      </c>
      <c r="N23" s="14">
        <f t="shared" si="11"/>
        <v>2623.4</v>
      </c>
      <c r="O23" s="14">
        <f t="shared" si="11"/>
        <v>3020.5</v>
      </c>
      <c r="P23" s="14">
        <f t="shared" si="11"/>
        <v>3432.6</v>
      </c>
      <c r="Q23" s="15">
        <f t="shared" si="11"/>
        <v>3859.7</v>
      </c>
    </row>
    <row r="24" spans="1:17" x14ac:dyDescent="0.25">
      <c r="A24" s="2" t="s">
        <v>47</v>
      </c>
      <c r="B24" s="1">
        <v>200</v>
      </c>
      <c r="C24" s="2" t="s">
        <v>1</v>
      </c>
      <c r="E24" s="11"/>
      <c r="F24" s="12"/>
      <c r="G24" s="16">
        <f t="shared" si="5"/>
        <v>260</v>
      </c>
      <c r="H24" s="14">
        <f t="shared" ref="H24:Q24" si="12">ROUNDDOWN(H11*H37/1000,1)</f>
        <v>441.4</v>
      </c>
      <c r="I24" s="14">
        <f t="shared" si="12"/>
        <v>782.7</v>
      </c>
      <c r="J24" s="14">
        <f t="shared" si="12"/>
        <v>1150.7</v>
      </c>
      <c r="K24" s="14">
        <f t="shared" si="12"/>
        <v>1544.9</v>
      </c>
      <c r="L24" s="14">
        <f t="shared" si="12"/>
        <v>1949.7</v>
      </c>
      <c r="M24" s="14">
        <f t="shared" si="12"/>
        <v>2367.6999999999998</v>
      </c>
      <c r="N24" s="14">
        <f t="shared" si="12"/>
        <v>2791</v>
      </c>
      <c r="O24" s="14">
        <f t="shared" si="12"/>
        <v>3235.1</v>
      </c>
      <c r="P24" s="14">
        <f t="shared" si="12"/>
        <v>3674.1</v>
      </c>
      <c r="Q24" s="15">
        <f t="shared" si="12"/>
        <v>4100.3</v>
      </c>
    </row>
    <row r="25" spans="1:17" x14ac:dyDescent="0.25">
      <c r="A25" s="2" t="s">
        <v>48</v>
      </c>
      <c r="B25" s="1">
        <v>500</v>
      </c>
      <c r="C25" s="2" t="s">
        <v>1</v>
      </c>
      <c r="E25" s="11"/>
      <c r="F25" s="12"/>
      <c r="G25" s="16">
        <f t="shared" si="5"/>
        <v>270</v>
      </c>
      <c r="H25" s="14">
        <f t="shared" ref="H25:Q25" si="13">ROUNDDOWN(H12*H38/1000,1)</f>
        <v>464.1</v>
      </c>
      <c r="I25" s="14">
        <f t="shared" si="13"/>
        <v>821.3</v>
      </c>
      <c r="J25" s="14">
        <f t="shared" si="13"/>
        <v>1216.8</v>
      </c>
      <c r="K25" s="14">
        <f t="shared" si="13"/>
        <v>1631.6</v>
      </c>
      <c r="L25" s="14">
        <f t="shared" si="13"/>
        <v>2073.5</v>
      </c>
      <c r="M25" s="14">
        <f t="shared" si="13"/>
        <v>2515.6999999999998</v>
      </c>
      <c r="N25" s="14">
        <f t="shared" si="13"/>
        <v>2963.4</v>
      </c>
      <c r="O25" s="14">
        <f t="shared" si="13"/>
        <v>3432.7</v>
      </c>
      <c r="P25" s="14">
        <f t="shared" si="13"/>
        <v>3896.7</v>
      </c>
      <c r="Q25" s="15">
        <f t="shared" si="13"/>
        <v>4377</v>
      </c>
    </row>
    <row r="26" spans="1:17" x14ac:dyDescent="0.25">
      <c r="A26" s="90" t="s">
        <v>49</v>
      </c>
      <c r="B26" s="90"/>
      <c r="C26" s="90"/>
      <c r="E26" s="11"/>
      <c r="F26" s="12"/>
      <c r="G26" s="16">
        <f>G13</f>
        <v>280</v>
      </c>
      <c r="H26" s="14">
        <f t="shared" ref="H26:Q26" si="14">ROUNDDOWN(H13*H39/1000,1)</f>
        <v>487.2</v>
      </c>
      <c r="I26" s="14">
        <f t="shared" si="14"/>
        <v>868.8</v>
      </c>
      <c r="J26" s="14">
        <f t="shared" si="14"/>
        <v>1284.5999999999999</v>
      </c>
      <c r="K26" s="14">
        <f t="shared" si="14"/>
        <v>1720.4</v>
      </c>
      <c r="L26" s="14">
        <f t="shared" si="14"/>
        <v>2184.3000000000002</v>
      </c>
      <c r="M26" s="14">
        <f t="shared" si="14"/>
        <v>2667.9</v>
      </c>
      <c r="N26" s="14">
        <f t="shared" si="14"/>
        <v>3140.6</v>
      </c>
      <c r="O26" s="14">
        <f t="shared" si="14"/>
        <v>3635.7</v>
      </c>
      <c r="P26" s="14">
        <f t="shared" si="14"/>
        <v>4125.3999999999996</v>
      </c>
      <c r="Q26" s="15">
        <f t="shared" si="14"/>
        <v>4631.8</v>
      </c>
    </row>
    <row r="27" spans="1:17" ht="15.75" thickBot="1" x14ac:dyDescent="0.3">
      <c r="A27" s="2" t="s">
        <v>50</v>
      </c>
      <c r="B27" s="1">
        <v>1</v>
      </c>
      <c r="C27" s="2" t="s">
        <v>2</v>
      </c>
      <c r="E27" s="17"/>
      <c r="F27" s="18"/>
      <c r="G27" s="19">
        <f>G14</f>
        <v>290</v>
      </c>
      <c r="H27" s="20">
        <f t="shared" ref="H27:Q27" si="15">ROUNDDOWN(H14*H40/1000,1)</f>
        <v>510.6</v>
      </c>
      <c r="I27" s="20">
        <f t="shared" si="15"/>
        <v>908.8</v>
      </c>
      <c r="J27" s="20">
        <f t="shared" si="15"/>
        <v>1353.9</v>
      </c>
      <c r="K27" s="20">
        <f t="shared" si="15"/>
        <v>1825.5</v>
      </c>
      <c r="L27" s="20">
        <f t="shared" si="15"/>
        <v>2314.6999999999998</v>
      </c>
      <c r="M27" s="20">
        <f t="shared" si="15"/>
        <v>2804.2</v>
      </c>
      <c r="N27" s="20">
        <f t="shared" si="15"/>
        <v>3322.7</v>
      </c>
      <c r="O27" s="20">
        <f t="shared" si="15"/>
        <v>3844.2</v>
      </c>
      <c r="P27" s="20">
        <f t="shared" si="15"/>
        <v>4360</v>
      </c>
      <c r="Q27" s="21">
        <f t="shared" si="15"/>
        <v>4893.2</v>
      </c>
    </row>
    <row r="28" spans="1:17" x14ac:dyDescent="0.25">
      <c r="A28" s="2" t="s">
        <v>51</v>
      </c>
      <c r="B28" s="1">
        <v>40</v>
      </c>
      <c r="C28" s="2" t="s">
        <v>1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2"/>
    </row>
    <row r="29" spans="1:17" ht="15.75" thickBot="1" x14ac:dyDescent="0.3">
      <c r="B29" s="5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2"/>
    </row>
    <row r="30" spans="1:17" x14ac:dyDescent="0.25">
      <c r="A30" s="2" t="s">
        <v>52</v>
      </c>
      <c r="B30" s="91" t="s">
        <v>14</v>
      </c>
      <c r="C30" s="91"/>
      <c r="D30" s="5"/>
      <c r="E30" s="6" t="s">
        <v>66</v>
      </c>
      <c r="F30" s="7"/>
      <c r="G30" s="23"/>
      <c r="H30" s="9">
        <f t="shared" ref="H30:Q30" si="16">H17</f>
        <v>200</v>
      </c>
      <c r="I30" s="9">
        <f t="shared" si="16"/>
        <v>300</v>
      </c>
      <c r="J30" s="9">
        <f t="shared" si="16"/>
        <v>400</v>
      </c>
      <c r="K30" s="9">
        <f t="shared" si="16"/>
        <v>500</v>
      </c>
      <c r="L30" s="9">
        <f t="shared" si="16"/>
        <v>600</v>
      </c>
      <c r="M30" s="9">
        <f t="shared" si="16"/>
        <v>700</v>
      </c>
      <c r="N30" s="9">
        <f t="shared" si="16"/>
        <v>800</v>
      </c>
      <c r="O30" s="9">
        <f t="shared" si="16"/>
        <v>900</v>
      </c>
      <c r="P30" s="9">
        <f t="shared" si="16"/>
        <v>1000</v>
      </c>
      <c r="Q30" s="10">
        <f t="shared" si="16"/>
        <v>1100</v>
      </c>
    </row>
    <row r="31" spans="1:17" x14ac:dyDescent="0.25">
      <c r="E31" s="11"/>
      <c r="F31" s="12"/>
      <c r="G31" s="16">
        <f t="shared" ref="G31:G40" si="17">G18</f>
        <v>200</v>
      </c>
      <c r="H31" s="24">
        <f t="shared" ref="H31:Q40" si="18">$G31*H$30-$B$27*$B$28^2/4*PI()</f>
        <v>38743.362938564082</v>
      </c>
      <c r="I31" s="24">
        <f t="shared" si="18"/>
        <v>58743.362938564082</v>
      </c>
      <c r="J31" s="24">
        <f t="shared" si="18"/>
        <v>78743.362938564082</v>
      </c>
      <c r="K31" s="24">
        <f t="shared" si="18"/>
        <v>98743.362938564082</v>
      </c>
      <c r="L31" s="24">
        <f t="shared" si="18"/>
        <v>118743.36293856408</v>
      </c>
      <c r="M31" s="24">
        <f t="shared" si="18"/>
        <v>138743.3629385641</v>
      </c>
      <c r="N31" s="24">
        <f t="shared" si="18"/>
        <v>158743.3629385641</v>
      </c>
      <c r="O31" s="24">
        <f t="shared" si="18"/>
        <v>178743.3629385641</v>
      </c>
      <c r="P31" s="24">
        <f t="shared" si="18"/>
        <v>198743.3629385641</v>
      </c>
      <c r="Q31" s="25">
        <f t="shared" si="18"/>
        <v>218743.3629385641</v>
      </c>
    </row>
    <row r="32" spans="1:17" x14ac:dyDescent="0.25">
      <c r="E32" s="11"/>
      <c r="F32" s="12"/>
      <c r="G32" s="16">
        <f t="shared" si="17"/>
        <v>210</v>
      </c>
      <c r="H32" s="24">
        <f t="shared" si="18"/>
        <v>40743.362938564082</v>
      </c>
      <c r="I32" s="24">
        <f t="shared" si="18"/>
        <v>61743.362938564082</v>
      </c>
      <c r="J32" s="24">
        <f t="shared" si="18"/>
        <v>82743.362938564082</v>
      </c>
      <c r="K32" s="24">
        <f t="shared" si="18"/>
        <v>103743.36293856408</v>
      </c>
      <c r="L32" s="24">
        <f t="shared" si="18"/>
        <v>124743.36293856408</v>
      </c>
      <c r="M32" s="24">
        <f t="shared" si="18"/>
        <v>145743.3629385641</v>
      </c>
      <c r="N32" s="24">
        <f t="shared" si="18"/>
        <v>166743.3629385641</v>
      </c>
      <c r="O32" s="24">
        <f t="shared" si="18"/>
        <v>187743.3629385641</v>
      </c>
      <c r="P32" s="24">
        <f t="shared" si="18"/>
        <v>208743.3629385641</v>
      </c>
      <c r="Q32" s="25">
        <f t="shared" si="18"/>
        <v>229743.3629385641</v>
      </c>
    </row>
    <row r="33" spans="1:17" x14ac:dyDescent="0.25">
      <c r="A33" s="82" t="s">
        <v>40</v>
      </c>
      <c r="B33" s="82"/>
      <c r="C33" s="82"/>
      <c r="E33" s="11"/>
      <c r="F33" s="12"/>
      <c r="G33" s="16">
        <f t="shared" si="17"/>
        <v>220</v>
      </c>
      <c r="H33" s="24">
        <f t="shared" si="18"/>
        <v>42743.362938564082</v>
      </c>
      <c r="I33" s="24">
        <f t="shared" si="18"/>
        <v>64743.362938564082</v>
      </c>
      <c r="J33" s="24">
        <f t="shared" si="18"/>
        <v>86743.362938564082</v>
      </c>
      <c r="K33" s="24">
        <f t="shared" si="18"/>
        <v>108743.36293856408</v>
      </c>
      <c r="L33" s="24">
        <f t="shared" si="18"/>
        <v>130743.36293856408</v>
      </c>
      <c r="M33" s="24">
        <f t="shared" si="18"/>
        <v>152743.3629385641</v>
      </c>
      <c r="N33" s="24">
        <f t="shared" si="18"/>
        <v>174743.3629385641</v>
      </c>
      <c r="O33" s="24">
        <f t="shared" si="18"/>
        <v>196743.3629385641</v>
      </c>
      <c r="P33" s="24">
        <f t="shared" si="18"/>
        <v>218743.3629385641</v>
      </c>
      <c r="Q33" s="25">
        <f t="shared" si="18"/>
        <v>240743.3629385641</v>
      </c>
    </row>
    <row r="34" spans="1:17" ht="17.25" x14ac:dyDescent="0.25">
      <c r="A34" s="35" t="s">
        <v>53</v>
      </c>
      <c r="B34" s="41">
        <f>$B24*B$25-$B$27*$B$28^2/4*PI()</f>
        <v>98743.362938564082</v>
      </c>
      <c r="C34" s="35" t="s">
        <v>4</v>
      </c>
      <c r="E34" s="11"/>
      <c r="F34" s="12"/>
      <c r="G34" s="16">
        <f t="shared" si="17"/>
        <v>230</v>
      </c>
      <c r="H34" s="24">
        <f t="shared" si="18"/>
        <v>44743.362938564082</v>
      </c>
      <c r="I34" s="24">
        <f t="shared" si="18"/>
        <v>67743.362938564082</v>
      </c>
      <c r="J34" s="24">
        <f t="shared" si="18"/>
        <v>90743.362938564082</v>
      </c>
      <c r="K34" s="24">
        <f t="shared" si="18"/>
        <v>113743.36293856408</v>
      </c>
      <c r="L34" s="24">
        <f t="shared" si="18"/>
        <v>136743.3629385641</v>
      </c>
      <c r="M34" s="24">
        <f t="shared" si="18"/>
        <v>159743.3629385641</v>
      </c>
      <c r="N34" s="24">
        <f t="shared" si="18"/>
        <v>182743.3629385641</v>
      </c>
      <c r="O34" s="24">
        <f t="shared" si="18"/>
        <v>205743.3629385641</v>
      </c>
      <c r="P34" s="24">
        <f t="shared" si="18"/>
        <v>228743.3629385641</v>
      </c>
      <c r="Q34" s="25">
        <f t="shared" si="18"/>
        <v>251743.3629385641</v>
      </c>
    </row>
    <row r="35" spans="1:17" ht="18" x14ac:dyDescent="0.25">
      <c r="A35" s="35" t="s">
        <v>54</v>
      </c>
      <c r="B35" s="41">
        <f>(2*(B$25+$B24)+$B$27*$B$28*PI())*$B$7</f>
        <v>45769.911184307755</v>
      </c>
      <c r="C35" s="35" t="s">
        <v>4</v>
      </c>
      <c r="E35" s="11"/>
      <c r="F35" s="12"/>
      <c r="G35" s="16">
        <f t="shared" si="17"/>
        <v>240</v>
      </c>
      <c r="H35" s="24">
        <f t="shared" si="18"/>
        <v>46743.362938564082</v>
      </c>
      <c r="I35" s="24">
        <f t="shared" si="18"/>
        <v>70743.362938564082</v>
      </c>
      <c r="J35" s="24">
        <f>$G35*J$30-$B$27*$B$28^2/4*PI()</f>
        <v>94743.362938564082</v>
      </c>
      <c r="K35" s="24">
        <f t="shared" si="18"/>
        <v>118743.36293856408</v>
      </c>
      <c r="L35" s="24">
        <f t="shared" si="18"/>
        <v>142743.3629385641</v>
      </c>
      <c r="M35" s="24">
        <f t="shared" si="18"/>
        <v>166743.3629385641</v>
      </c>
      <c r="N35" s="24">
        <f t="shared" si="18"/>
        <v>190743.3629385641</v>
      </c>
      <c r="O35" s="24">
        <f t="shared" si="18"/>
        <v>214743.3629385641</v>
      </c>
      <c r="P35" s="24">
        <f t="shared" si="18"/>
        <v>238743.3629385641</v>
      </c>
      <c r="Q35" s="25">
        <f t="shared" si="18"/>
        <v>262743.3629385641</v>
      </c>
    </row>
    <row r="36" spans="1:17" x14ac:dyDescent="0.25">
      <c r="A36" s="2" t="s">
        <v>55</v>
      </c>
      <c r="B36" s="38">
        <f>ROUNDDOWN(B34/B35,2)</f>
        <v>2.15</v>
      </c>
      <c r="C36" s="2" t="s">
        <v>2</v>
      </c>
      <c r="E36" s="11"/>
      <c r="F36" s="12"/>
      <c r="G36" s="16">
        <f t="shared" si="17"/>
        <v>250</v>
      </c>
      <c r="H36" s="24">
        <f t="shared" si="18"/>
        <v>48743.362938564082</v>
      </c>
      <c r="I36" s="24">
        <f t="shared" si="18"/>
        <v>73743.362938564082</v>
      </c>
      <c r="J36" s="24">
        <f t="shared" si="18"/>
        <v>98743.362938564082</v>
      </c>
      <c r="K36" s="24">
        <f t="shared" si="18"/>
        <v>123743.36293856408</v>
      </c>
      <c r="L36" s="24">
        <f t="shared" si="18"/>
        <v>148743.3629385641</v>
      </c>
      <c r="M36" s="24">
        <f t="shared" si="18"/>
        <v>173743.3629385641</v>
      </c>
      <c r="N36" s="24">
        <f t="shared" si="18"/>
        <v>198743.3629385641</v>
      </c>
      <c r="O36" s="24">
        <f t="shared" si="18"/>
        <v>223743.3629385641</v>
      </c>
      <c r="P36" s="24">
        <f t="shared" si="18"/>
        <v>248743.3629385641</v>
      </c>
      <c r="Q36" s="25">
        <f t="shared" si="18"/>
        <v>273743.3629385641</v>
      </c>
    </row>
    <row r="37" spans="1:17" x14ac:dyDescent="0.25">
      <c r="A37" s="2" t="s">
        <v>11</v>
      </c>
      <c r="B37" s="37">
        <f>MIN(B24:B25)/B7</f>
        <v>6.666666666666667</v>
      </c>
      <c r="C37" s="2" t="s">
        <v>2</v>
      </c>
      <c r="E37" s="11"/>
      <c r="F37" s="12"/>
      <c r="G37" s="16">
        <f t="shared" si="17"/>
        <v>260</v>
      </c>
      <c r="H37" s="24">
        <f t="shared" si="18"/>
        <v>50743.362938564082</v>
      </c>
      <c r="I37" s="24">
        <f t="shared" si="18"/>
        <v>76743.362938564082</v>
      </c>
      <c r="J37" s="24">
        <f t="shared" si="18"/>
        <v>102743.36293856408</v>
      </c>
      <c r="K37" s="24">
        <f t="shared" si="18"/>
        <v>128743.36293856408</v>
      </c>
      <c r="L37" s="24">
        <f t="shared" si="18"/>
        <v>154743.3629385641</v>
      </c>
      <c r="M37" s="24">
        <f t="shared" si="18"/>
        <v>180743.3629385641</v>
      </c>
      <c r="N37" s="24">
        <f t="shared" si="18"/>
        <v>206743.3629385641</v>
      </c>
      <c r="O37" s="24">
        <f t="shared" si="18"/>
        <v>232743.3629385641</v>
      </c>
      <c r="P37" s="24">
        <f t="shared" si="18"/>
        <v>258743.3629385641</v>
      </c>
      <c r="Q37" s="25">
        <f t="shared" si="18"/>
        <v>284743.3629385641</v>
      </c>
    </row>
    <row r="38" spans="1:17" x14ac:dyDescent="0.25">
      <c r="E38" s="11"/>
      <c r="F38" s="12"/>
      <c r="G38" s="16">
        <f t="shared" si="17"/>
        <v>270</v>
      </c>
      <c r="H38" s="24">
        <f t="shared" si="18"/>
        <v>52743.362938564082</v>
      </c>
      <c r="I38" s="24">
        <f t="shared" si="18"/>
        <v>79743.362938564082</v>
      </c>
      <c r="J38" s="24">
        <f t="shared" si="18"/>
        <v>106743.36293856408</v>
      </c>
      <c r="K38" s="24">
        <f t="shared" si="18"/>
        <v>133743.3629385641</v>
      </c>
      <c r="L38" s="24">
        <f t="shared" si="18"/>
        <v>160743.3629385641</v>
      </c>
      <c r="M38" s="24">
        <f t="shared" si="18"/>
        <v>187743.3629385641</v>
      </c>
      <c r="N38" s="24">
        <f t="shared" si="18"/>
        <v>214743.3629385641</v>
      </c>
      <c r="O38" s="24">
        <f t="shared" si="18"/>
        <v>241743.3629385641</v>
      </c>
      <c r="P38" s="24">
        <f t="shared" si="18"/>
        <v>268743.3629385641</v>
      </c>
      <c r="Q38" s="25">
        <f t="shared" si="18"/>
        <v>295743.3629385641</v>
      </c>
    </row>
    <row r="39" spans="1:17" x14ac:dyDescent="0.25">
      <c r="E39" s="11"/>
      <c r="F39" s="12"/>
      <c r="G39" s="16">
        <f t="shared" si="17"/>
        <v>280</v>
      </c>
      <c r="H39" s="24">
        <f t="shared" si="18"/>
        <v>54743.362938564082</v>
      </c>
      <c r="I39" s="24">
        <f t="shared" si="18"/>
        <v>82743.362938564082</v>
      </c>
      <c r="J39" s="24">
        <f t="shared" si="18"/>
        <v>110743.36293856408</v>
      </c>
      <c r="K39" s="24">
        <f t="shared" si="18"/>
        <v>138743.3629385641</v>
      </c>
      <c r="L39" s="24">
        <f t="shared" si="18"/>
        <v>166743.3629385641</v>
      </c>
      <c r="M39" s="24">
        <f t="shared" si="18"/>
        <v>194743.3629385641</v>
      </c>
      <c r="N39" s="24">
        <f t="shared" si="18"/>
        <v>222743.3629385641</v>
      </c>
      <c r="O39" s="24">
        <f t="shared" si="18"/>
        <v>250743.3629385641</v>
      </c>
      <c r="P39" s="24">
        <f t="shared" si="18"/>
        <v>278743.3629385641</v>
      </c>
      <c r="Q39" s="25">
        <f t="shared" si="18"/>
        <v>306743.3629385641</v>
      </c>
    </row>
    <row r="40" spans="1:17" ht="15.75" thickBot="1" x14ac:dyDescent="0.3">
      <c r="A40" s="89" t="s">
        <v>41</v>
      </c>
      <c r="B40" s="82"/>
      <c r="C40" s="82"/>
      <c r="E40" s="17"/>
      <c r="F40" s="18"/>
      <c r="G40" s="19">
        <f t="shared" si="17"/>
        <v>290</v>
      </c>
      <c r="H40" s="26">
        <f t="shared" si="18"/>
        <v>56743.362938564082</v>
      </c>
      <c r="I40" s="26">
        <f t="shared" si="18"/>
        <v>85743.362938564082</v>
      </c>
      <c r="J40" s="26">
        <f t="shared" si="18"/>
        <v>114743.36293856408</v>
      </c>
      <c r="K40" s="26">
        <f t="shared" si="18"/>
        <v>143743.3629385641</v>
      </c>
      <c r="L40" s="26">
        <f t="shared" si="18"/>
        <v>172743.3629385641</v>
      </c>
      <c r="M40" s="26">
        <f t="shared" si="18"/>
        <v>201743.3629385641</v>
      </c>
      <c r="N40" s="26">
        <f t="shared" si="18"/>
        <v>230743.3629385641</v>
      </c>
      <c r="O40" s="26">
        <f t="shared" si="18"/>
        <v>259743.3629385641</v>
      </c>
      <c r="P40" s="26">
        <f t="shared" si="18"/>
        <v>288743.3629385641</v>
      </c>
      <c r="Q40" s="27">
        <f t="shared" si="18"/>
        <v>317743.3629385641</v>
      </c>
    </row>
    <row r="41" spans="1:17" ht="17.25" x14ac:dyDescent="0.25">
      <c r="A41" s="2" t="s">
        <v>56</v>
      </c>
      <c r="B41" s="34">
        <f>B16*1000/B34</f>
        <v>10.127262939405636</v>
      </c>
      <c r="C41" s="2" t="s">
        <v>13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/>
    </row>
    <row r="42" spans="1:17" ht="18.75" thickBot="1" x14ac:dyDescent="0.3">
      <c r="A42" s="2" t="s">
        <v>57</v>
      </c>
      <c r="B42" s="43">
        <f>(-(B36*B67+B70)+SQRT((B36*B67+B70)^2-4*(B36*B66+B69)*(B36*B68+B71-B41)))/(2*(B36*B66+B69))*100</f>
        <v>30.254465344025416</v>
      </c>
      <c r="C42" s="2" t="s">
        <v>12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2"/>
    </row>
    <row r="43" spans="1:17" ht="18" x14ac:dyDescent="0.25">
      <c r="A43" s="2" t="s">
        <v>58</v>
      </c>
      <c r="B43" s="34">
        <f>B42*B7/100</f>
        <v>9.0763396032076251</v>
      </c>
      <c r="C43" s="2" t="s">
        <v>1</v>
      </c>
      <c r="E43" s="28" t="s">
        <v>5</v>
      </c>
      <c r="F43" s="23"/>
      <c r="G43" s="23"/>
      <c r="H43" s="9">
        <f>H30</f>
        <v>200</v>
      </c>
      <c r="I43" s="9">
        <f t="shared" ref="I43:Q43" si="19">I30</f>
        <v>300</v>
      </c>
      <c r="J43" s="9">
        <f t="shared" si="19"/>
        <v>400</v>
      </c>
      <c r="K43" s="9">
        <f t="shared" si="19"/>
        <v>500</v>
      </c>
      <c r="L43" s="9">
        <f t="shared" si="19"/>
        <v>600</v>
      </c>
      <c r="M43" s="9">
        <f t="shared" si="19"/>
        <v>700</v>
      </c>
      <c r="N43" s="9">
        <f t="shared" si="19"/>
        <v>800</v>
      </c>
      <c r="O43" s="9">
        <f t="shared" si="19"/>
        <v>900</v>
      </c>
      <c r="P43" s="9">
        <f t="shared" si="19"/>
        <v>1000</v>
      </c>
      <c r="Q43" s="10">
        <f t="shared" si="19"/>
        <v>1100</v>
      </c>
    </row>
    <row r="44" spans="1:17" x14ac:dyDescent="0.25">
      <c r="E44" s="11"/>
      <c r="F44" s="12"/>
      <c r="G44" s="16">
        <f t="shared" ref="G44:G53" si="20">G31</f>
        <v>200</v>
      </c>
      <c r="H44" s="29">
        <f>ROUNDDOWN(MIN(0.9*$B$7/$G44,0.9*$B$7/H$43,0.1)*1000,1)</f>
        <v>100</v>
      </c>
      <c r="I44" s="29">
        <f t="shared" ref="I44:Q53" si="21">ROUNDDOWN(MIN(0.9*$B$7/$G44,0.9*$B$7/I$43,0.1)*1000,1)</f>
        <v>90</v>
      </c>
      <c r="J44" s="29">
        <f t="shared" si="21"/>
        <v>67.5</v>
      </c>
      <c r="K44" s="29">
        <f t="shared" si="21"/>
        <v>54</v>
      </c>
      <c r="L44" s="29">
        <f t="shared" si="21"/>
        <v>45</v>
      </c>
      <c r="M44" s="29">
        <f t="shared" si="21"/>
        <v>38.5</v>
      </c>
      <c r="N44" s="29">
        <f t="shared" si="21"/>
        <v>33.700000000000003</v>
      </c>
      <c r="O44" s="29">
        <f t="shared" si="21"/>
        <v>30</v>
      </c>
      <c r="P44" s="29">
        <f t="shared" si="21"/>
        <v>27</v>
      </c>
      <c r="Q44" s="30">
        <f t="shared" si="21"/>
        <v>24.5</v>
      </c>
    </row>
    <row r="45" spans="1:17" x14ac:dyDescent="0.25">
      <c r="E45" s="11"/>
      <c r="F45" s="12"/>
      <c r="G45" s="16">
        <f t="shared" si="20"/>
        <v>210</v>
      </c>
      <c r="H45" s="29">
        <f t="shared" ref="H45:H53" si="22">ROUNDDOWN(MIN(0.9*$B$7/$G45,0.9*$B$7/H$43,0.1)*1000,1)</f>
        <v>100</v>
      </c>
      <c r="I45" s="29">
        <f t="shared" si="21"/>
        <v>90</v>
      </c>
      <c r="J45" s="29">
        <f t="shared" si="21"/>
        <v>67.5</v>
      </c>
      <c r="K45" s="29">
        <f t="shared" si="21"/>
        <v>54</v>
      </c>
      <c r="L45" s="29">
        <f t="shared" si="21"/>
        <v>45</v>
      </c>
      <c r="M45" s="29">
        <f t="shared" si="21"/>
        <v>38.5</v>
      </c>
      <c r="N45" s="29">
        <f t="shared" si="21"/>
        <v>33.700000000000003</v>
      </c>
      <c r="O45" s="29">
        <f t="shared" si="21"/>
        <v>30</v>
      </c>
      <c r="P45" s="29">
        <f t="shared" si="21"/>
        <v>27</v>
      </c>
      <c r="Q45" s="30">
        <f t="shared" si="21"/>
        <v>24.5</v>
      </c>
    </row>
    <row r="46" spans="1:17" x14ac:dyDescent="0.25">
      <c r="A46" s="89" t="s">
        <v>42</v>
      </c>
      <c r="B46" s="89"/>
      <c r="C46" s="89"/>
      <c r="E46" s="11"/>
      <c r="F46" s="12"/>
      <c r="G46" s="16">
        <f t="shared" si="20"/>
        <v>220</v>
      </c>
      <c r="H46" s="29">
        <f t="shared" si="22"/>
        <v>100</v>
      </c>
      <c r="I46" s="29">
        <f t="shared" si="21"/>
        <v>90</v>
      </c>
      <c r="J46" s="29">
        <f t="shared" si="21"/>
        <v>67.5</v>
      </c>
      <c r="K46" s="29">
        <f t="shared" si="21"/>
        <v>54</v>
      </c>
      <c r="L46" s="29">
        <f t="shared" si="21"/>
        <v>45</v>
      </c>
      <c r="M46" s="29">
        <f t="shared" si="21"/>
        <v>38.5</v>
      </c>
      <c r="N46" s="29">
        <f t="shared" si="21"/>
        <v>33.700000000000003</v>
      </c>
      <c r="O46" s="29">
        <f t="shared" si="21"/>
        <v>30</v>
      </c>
      <c r="P46" s="29">
        <f t="shared" si="21"/>
        <v>27</v>
      </c>
      <c r="Q46" s="30">
        <f t="shared" si="21"/>
        <v>24.5</v>
      </c>
    </row>
    <row r="47" spans="1:17" x14ac:dyDescent="0.25">
      <c r="A47" s="89"/>
      <c r="B47" s="89"/>
      <c r="C47" s="89"/>
      <c r="E47" s="11"/>
      <c r="F47" s="12"/>
      <c r="G47" s="16">
        <f t="shared" si="20"/>
        <v>230</v>
      </c>
      <c r="H47" s="29">
        <f t="shared" si="22"/>
        <v>100</v>
      </c>
      <c r="I47" s="29">
        <f t="shared" si="21"/>
        <v>90</v>
      </c>
      <c r="J47" s="29">
        <f t="shared" si="21"/>
        <v>67.5</v>
      </c>
      <c r="K47" s="29">
        <f t="shared" si="21"/>
        <v>54</v>
      </c>
      <c r="L47" s="29">
        <f t="shared" si="21"/>
        <v>45</v>
      </c>
      <c r="M47" s="29">
        <f t="shared" si="21"/>
        <v>38.5</v>
      </c>
      <c r="N47" s="29">
        <f t="shared" si="21"/>
        <v>33.700000000000003</v>
      </c>
      <c r="O47" s="29">
        <f t="shared" si="21"/>
        <v>30</v>
      </c>
      <c r="P47" s="29">
        <f t="shared" si="21"/>
        <v>27</v>
      </c>
      <c r="Q47" s="30">
        <f t="shared" si="21"/>
        <v>24.5</v>
      </c>
    </row>
    <row r="48" spans="1:17" ht="18" x14ac:dyDescent="0.25">
      <c r="A48" s="2" t="s">
        <v>59</v>
      </c>
      <c r="B48" s="34">
        <f>(1-B42/100)*B7</f>
        <v>20.923660396792375</v>
      </c>
      <c r="C48" s="2" t="s">
        <v>1</v>
      </c>
      <c r="E48" s="11"/>
      <c r="F48" s="12"/>
      <c r="G48" s="16">
        <f t="shared" si="20"/>
        <v>240</v>
      </c>
      <c r="H48" s="29">
        <f t="shared" si="22"/>
        <v>100</v>
      </c>
      <c r="I48" s="29">
        <f t="shared" si="21"/>
        <v>90</v>
      </c>
      <c r="J48" s="29">
        <f t="shared" si="21"/>
        <v>67.5</v>
      </c>
      <c r="K48" s="29">
        <f t="shared" si="21"/>
        <v>54</v>
      </c>
      <c r="L48" s="29">
        <f t="shared" si="21"/>
        <v>45</v>
      </c>
      <c r="M48" s="29">
        <f t="shared" si="21"/>
        <v>38.5</v>
      </c>
      <c r="N48" s="29">
        <f t="shared" si="21"/>
        <v>33.700000000000003</v>
      </c>
      <c r="O48" s="29">
        <f t="shared" si="21"/>
        <v>30</v>
      </c>
      <c r="P48" s="29">
        <f t="shared" si="21"/>
        <v>27</v>
      </c>
      <c r="Q48" s="30">
        <f t="shared" si="21"/>
        <v>24.5</v>
      </c>
    </row>
    <row r="49" spans="1:21" x14ac:dyDescent="0.25">
      <c r="A49" s="2" t="s">
        <v>60</v>
      </c>
      <c r="B49" s="34">
        <f>B7-B48-(B24*B17+B25*B18)/3000</f>
        <v>5.5763396032076251</v>
      </c>
      <c r="C49" s="2" t="s">
        <v>2</v>
      </c>
      <c r="E49" s="11"/>
      <c r="F49" s="12"/>
      <c r="G49" s="16">
        <f t="shared" si="20"/>
        <v>250</v>
      </c>
      <c r="H49" s="29">
        <f t="shared" si="22"/>
        <v>100</v>
      </c>
      <c r="I49" s="29">
        <f t="shared" si="21"/>
        <v>90</v>
      </c>
      <c r="J49" s="29">
        <f t="shared" si="21"/>
        <v>67.5</v>
      </c>
      <c r="K49" s="29">
        <f t="shared" si="21"/>
        <v>54</v>
      </c>
      <c r="L49" s="29">
        <f t="shared" si="21"/>
        <v>45</v>
      </c>
      <c r="M49" s="29">
        <f t="shared" si="21"/>
        <v>38.5</v>
      </c>
      <c r="N49" s="29">
        <f t="shared" si="21"/>
        <v>33.700000000000003</v>
      </c>
      <c r="O49" s="29">
        <f t="shared" si="21"/>
        <v>30</v>
      </c>
      <c r="P49" s="29">
        <f t="shared" si="21"/>
        <v>27</v>
      </c>
      <c r="Q49" s="30">
        <f t="shared" si="21"/>
        <v>24.5</v>
      </c>
    </row>
    <row r="50" spans="1:21" x14ac:dyDescent="0.25">
      <c r="E50" s="11"/>
      <c r="F50" s="12"/>
      <c r="G50" s="16">
        <f t="shared" si="20"/>
        <v>260</v>
      </c>
      <c r="H50" s="29">
        <f t="shared" si="22"/>
        <v>100</v>
      </c>
      <c r="I50" s="29">
        <f t="shared" si="21"/>
        <v>90</v>
      </c>
      <c r="J50" s="29">
        <f t="shared" si="21"/>
        <v>67.5</v>
      </c>
      <c r="K50" s="29">
        <f t="shared" si="21"/>
        <v>54</v>
      </c>
      <c r="L50" s="29">
        <f t="shared" si="21"/>
        <v>45</v>
      </c>
      <c r="M50" s="29">
        <f t="shared" si="21"/>
        <v>38.5</v>
      </c>
      <c r="N50" s="29">
        <f t="shared" si="21"/>
        <v>33.700000000000003</v>
      </c>
      <c r="O50" s="29">
        <f t="shared" si="21"/>
        <v>30</v>
      </c>
      <c r="P50" s="29">
        <f t="shared" si="21"/>
        <v>27</v>
      </c>
      <c r="Q50" s="30">
        <f t="shared" si="21"/>
        <v>24.5</v>
      </c>
    </row>
    <row r="51" spans="1:21" x14ac:dyDescent="0.25">
      <c r="E51" s="11"/>
      <c r="F51" s="12"/>
      <c r="G51" s="16">
        <f t="shared" si="20"/>
        <v>270</v>
      </c>
      <c r="H51" s="29">
        <f t="shared" si="22"/>
        <v>100</v>
      </c>
      <c r="I51" s="29">
        <f t="shared" si="21"/>
        <v>90</v>
      </c>
      <c r="J51" s="29">
        <f t="shared" si="21"/>
        <v>67.5</v>
      </c>
      <c r="K51" s="29">
        <f t="shared" si="21"/>
        <v>54</v>
      </c>
      <c r="L51" s="29">
        <f t="shared" si="21"/>
        <v>45</v>
      </c>
      <c r="M51" s="29">
        <f t="shared" si="21"/>
        <v>38.5</v>
      </c>
      <c r="N51" s="29">
        <f t="shared" si="21"/>
        <v>33.700000000000003</v>
      </c>
      <c r="O51" s="29">
        <f t="shared" si="21"/>
        <v>30</v>
      </c>
      <c r="P51" s="29">
        <f t="shared" si="21"/>
        <v>27</v>
      </c>
      <c r="Q51" s="30">
        <f t="shared" si="21"/>
        <v>24.5</v>
      </c>
    </row>
    <row r="52" spans="1:21" x14ac:dyDescent="0.25">
      <c r="A52" s="82" t="s">
        <v>43</v>
      </c>
      <c r="B52" s="82"/>
      <c r="C52" s="82"/>
      <c r="E52" s="11"/>
      <c r="F52" s="12"/>
      <c r="G52" s="16">
        <f t="shared" si="20"/>
        <v>280</v>
      </c>
      <c r="H52" s="29">
        <f t="shared" si="22"/>
        <v>96.4</v>
      </c>
      <c r="I52" s="29">
        <f t="shared" si="21"/>
        <v>90</v>
      </c>
      <c r="J52" s="29">
        <f t="shared" si="21"/>
        <v>67.5</v>
      </c>
      <c r="K52" s="29">
        <f t="shared" si="21"/>
        <v>54</v>
      </c>
      <c r="L52" s="29">
        <f t="shared" si="21"/>
        <v>45</v>
      </c>
      <c r="M52" s="29">
        <f t="shared" si="21"/>
        <v>38.5</v>
      </c>
      <c r="N52" s="29">
        <f t="shared" si="21"/>
        <v>33.700000000000003</v>
      </c>
      <c r="O52" s="29">
        <f t="shared" si="21"/>
        <v>30</v>
      </c>
      <c r="P52" s="29">
        <f t="shared" si="21"/>
        <v>27</v>
      </c>
      <c r="Q52" s="30">
        <f t="shared" si="21"/>
        <v>24.5</v>
      </c>
    </row>
    <row r="53" spans="1:21" ht="15.75" thickBot="1" x14ac:dyDescent="0.3">
      <c r="A53" s="2" t="s">
        <v>61</v>
      </c>
      <c r="B53" s="36">
        <f>0.1+(1.5*VLOOKUP(B30,A63:B64,2,0)/B41)</f>
        <v>0.18886902664470767</v>
      </c>
      <c r="C53" s="2" t="s">
        <v>2</v>
      </c>
      <c r="E53" s="17"/>
      <c r="F53" s="18"/>
      <c r="G53" s="19">
        <f t="shared" si="20"/>
        <v>290</v>
      </c>
      <c r="H53" s="31">
        <f t="shared" si="22"/>
        <v>93.1</v>
      </c>
      <c r="I53" s="31">
        <f t="shared" si="21"/>
        <v>90</v>
      </c>
      <c r="J53" s="31">
        <f t="shared" si="21"/>
        <v>67.5</v>
      </c>
      <c r="K53" s="31">
        <f t="shared" si="21"/>
        <v>54</v>
      </c>
      <c r="L53" s="31">
        <f t="shared" si="21"/>
        <v>45</v>
      </c>
      <c r="M53" s="31">
        <f t="shared" si="21"/>
        <v>38.5</v>
      </c>
      <c r="N53" s="31">
        <f t="shared" si="21"/>
        <v>33.700000000000003</v>
      </c>
      <c r="O53" s="31">
        <f t="shared" si="21"/>
        <v>30</v>
      </c>
      <c r="P53" s="31">
        <f t="shared" si="21"/>
        <v>27</v>
      </c>
      <c r="Q53" s="32">
        <f t="shared" si="21"/>
        <v>24.5</v>
      </c>
    </row>
    <row r="54" spans="1:21" ht="18" x14ac:dyDescent="0.25">
      <c r="A54" s="2" t="s">
        <v>62</v>
      </c>
      <c r="B54" s="34">
        <f>MIN(B53*B41*B48/2.2,0.7*B7)</f>
        <v>18.191470639285281</v>
      </c>
      <c r="C54" s="2" t="s">
        <v>1</v>
      </c>
    </row>
    <row r="55" spans="1:21" ht="18" x14ac:dyDescent="0.25">
      <c r="A55" s="2" t="s">
        <v>63</v>
      </c>
      <c r="B55" s="34">
        <f>B54/B48*2.2*B34/1000</f>
        <v>188.86902664470767</v>
      </c>
      <c r="C55" s="2" t="s">
        <v>3</v>
      </c>
      <c r="U55" s="42"/>
    </row>
    <row r="62" spans="1:21" ht="18" x14ac:dyDescent="0.25">
      <c r="A62" s="2" t="s">
        <v>16</v>
      </c>
    </row>
    <row r="63" spans="1:21" x14ac:dyDescent="0.25">
      <c r="A63" s="2" t="s">
        <v>14</v>
      </c>
      <c r="B63" s="2">
        <v>0.6</v>
      </c>
    </row>
    <row r="64" spans="1:21" x14ac:dyDescent="0.25">
      <c r="A64" s="2" t="s">
        <v>15</v>
      </c>
      <c r="B64" s="2">
        <v>0.2</v>
      </c>
    </row>
    <row r="66" spans="1:2" x14ac:dyDescent="0.25">
      <c r="A66" s="2" t="s">
        <v>19</v>
      </c>
      <c r="B66" s="2">
        <v>12.7</v>
      </c>
    </row>
    <row r="67" spans="1:2" x14ac:dyDescent="0.25">
      <c r="A67" s="2" t="s">
        <v>20</v>
      </c>
      <c r="B67" s="2">
        <v>4.26</v>
      </c>
    </row>
    <row r="68" spans="1:2" x14ac:dyDescent="0.25">
      <c r="A68" s="2" t="s">
        <v>21</v>
      </c>
      <c r="B68" s="2">
        <v>0.83499999999999996</v>
      </c>
    </row>
    <row r="69" spans="1:2" x14ac:dyDescent="0.25">
      <c r="A69" s="2" t="s">
        <v>22</v>
      </c>
      <c r="B69" s="2">
        <v>45.4</v>
      </c>
    </row>
    <row r="70" spans="1:2" x14ac:dyDescent="0.25">
      <c r="A70" s="2" t="s">
        <v>23</v>
      </c>
      <c r="B70" s="2">
        <v>-9.4</v>
      </c>
    </row>
    <row r="71" spans="1:2" x14ac:dyDescent="0.25">
      <c r="A71" s="2" t="s">
        <v>24</v>
      </c>
      <c r="B71" s="2">
        <v>1.75</v>
      </c>
    </row>
  </sheetData>
  <mergeCells count="13">
    <mergeCell ref="A33:C33"/>
    <mergeCell ref="A40:C40"/>
    <mergeCell ref="A46:C47"/>
    <mergeCell ref="A52:C52"/>
    <mergeCell ref="A26:C26"/>
    <mergeCell ref="B30:C30"/>
    <mergeCell ref="A23:C23"/>
    <mergeCell ref="A1:Q1"/>
    <mergeCell ref="A2:Q2"/>
    <mergeCell ref="A3:C3"/>
    <mergeCell ref="E3:Q3"/>
    <mergeCell ref="A6:C6"/>
    <mergeCell ref="A14:C15"/>
  </mergeCells>
  <conditionalFormatting sqref="B36">
    <cfRule type="cellIs" dxfId="74" priority="3" operator="greaterThanOrEqual">
      <formula>5</formula>
    </cfRule>
    <cfRule type="cellIs" dxfId="73" priority="15" operator="lessThanOrEqual">
      <formula>0.5</formula>
    </cfRule>
    <cfRule type="cellIs" dxfId="72" priority="16" operator="between">
      <formula>0.5</formula>
      <formula>5</formula>
    </cfRule>
  </conditionalFormatting>
  <conditionalFormatting sqref="B37">
    <cfRule type="cellIs" dxfId="71" priority="4" operator="between">
      <formula>4</formula>
      <formula>25</formula>
    </cfRule>
    <cfRule type="cellIs" dxfId="70" priority="13" operator="greaterThan">
      <formula>25</formula>
    </cfRule>
    <cfRule type="cellIs" dxfId="69" priority="14" operator="lessThan">
      <formula>4</formula>
    </cfRule>
  </conditionalFormatting>
  <conditionalFormatting sqref="B49">
    <cfRule type="cellIs" dxfId="68" priority="11" operator="greaterThanOrEqual">
      <formula>0</formula>
    </cfRule>
    <cfRule type="cellIs" dxfId="67" priority="12" operator="lessThan">
      <formula>0</formula>
    </cfRule>
  </conditionalFormatting>
  <conditionalFormatting sqref="H44:Q53">
    <cfRule type="expression" dxfId="66" priority="73">
      <formula>AND($G44=$B$24,H$43=$B$25)</formula>
    </cfRule>
    <cfRule type="cellIs" dxfId="65" priority="81" operator="greaterThanOrEqual">
      <formula>MAX($B$17:$B$18)</formula>
    </cfRule>
  </conditionalFormatting>
  <conditionalFormatting sqref="H18:Q27">
    <cfRule type="expression" dxfId="64" priority="75">
      <formula>AND($G18=$B$24,H$17=$B$25)</formula>
    </cfRule>
    <cfRule type="cellIs" dxfId="63" priority="79" operator="greaterThanOrEqual">
      <formula>$B$16</formula>
    </cfRule>
  </conditionalFormatting>
  <conditionalFormatting sqref="H31:Q40">
    <cfRule type="expression" dxfId="62" priority="77">
      <formula>AND($G31=$B$24,H$30=$B$25)</formula>
    </cfRule>
    <cfRule type="cellIs" dxfId="61" priority="80" operator="lessThanOrEqual">
      <formula>$B$20</formula>
    </cfRule>
  </conditionalFormatting>
  <conditionalFormatting sqref="H18:Q27">
    <cfRule type="expression" dxfId="60" priority="74">
      <formula>AND(H$17=$B$25,$G18=$B$24,H18&lt;$B$16)</formula>
    </cfRule>
  </conditionalFormatting>
  <conditionalFormatting sqref="H31:Q40">
    <cfRule type="expression" dxfId="59" priority="76">
      <formula>AND(H$30=$B$25,$G31=$B$24,H31&gt;$B$20)</formula>
    </cfRule>
  </conditionalFormatting>
  <conditionalFormatting sqref="H44:Q53">
    <cfRule type="expression" dxfId="58" priority="72">
      <formula>AND($G44=$B$24,H$43=$B$25,H44&lt;MAX($B$17:$B$18))</formula>
    </cfRule>
  </conditionalFormatting>
  <conditionalFormatting sqref="B34">
    <cfRule type="cellIs" dxfId="57" priority="9" operator="lessThanOrEqual">
      <formula>$B$20</formula>
    </cfRule>
    <cfRule type="cellIs" dxfId="56" priority="10" operator="greaterThan">
      <formula>$B$20</formula>
    </cfRule>
  </conditionalFormatting>
  <conditionalFormatting sqref="B54">
    <cfRule type="cellIs" dxfId="55" priority="7" operator="lessThan">
      <formula>$B$19</formula>
    </cfRule>
    <cfRule type="cellIs" dxfId="54" priority="8" operator="greaterThan">
      <formula>$B$19</formula>
    </cfRule>
  </conditionalFormatting>
  <conditionalFormatting sqref="H5:Q14">
    <cfRule type="expression" dxfId="53" priority="86">
      <formula>AND($G5=$B$24,H$4=$B$25,H5&lt;$B$41)</formula>
    </cfRule>
    <cfRule type="expression" dxfId="52" priority="87">
      <formula>AND($G5=$B$24,H$4=$B$25)</formula>
    </cfRule>
    <cfRule type="cellIs" dxfId="51" priority="88" operator="greaterThan">
      <formula>$B$41</formula>
    </cfRule>
  </conditionalFormatting>
  <conditionalFormatting sqref="B42">
    <cfRule type="cellIs" dxfId="50" priority="1" operator="greaterThan">
      <formula>30</formula>
    </cfRule>
    <cfRule type="cellIs" dxfId="49" priority="2" operator="lessThan">
      <formula>10</formula>
    </cfRule>
  </conditionalFormatting>
  <dataValidations disablePrompts="1" count="1">
    <dataValidation type="list" showInputMessage="1" showErrorMessage="1" sqref="B30">
      <formula1>$A$63:$A$64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selection activeCell="C76" sqref="C76"/>
    </sheetView>
  </sheetViews>
  <sheetFormatPr baseColWidth="10" defaultRowHeight="15" x14ac:dyDescent="0.25"/>
  <cols>
    <col min="1" max="1" width="37.140625" style="2" customWidth="1"/>
    <col min="2" max="2" width="9.5703125" style="2" customWidth="1"/>
    <col min="3" max="3" width="14.5703125" style="2" customWidth="1"/>
    <col min="4" max="4" width="11.42578125" style="2"/>
    <col min="5" max="5" width="19.140625" style="2" customWidth="1"/>
    <col min="6" max="6" width="8.85546875" style="2" bestFit="1" customWidth="1"/>
    <col min="7" max="16" width="6.5703125" style="2" customWidth="1"/>
    <col min="17" max="16384" width="11.42578125" style="2"/>
  </cols>
  <sheetData>
    <row r="1" spans="1:16" ht="40.5" customHeight="1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40.5" customHeight="1" thickBot="1" x14ac:dyDescent="0.3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40.5" customHeight="1" thickBot="1" x14ac:dyDescent="0.3">
      <c r="A3" s="85" t="s">
        <v>30</v>
      </c>
      <c r="B3" s="85"/>
      <c r="C3" s="85"/>
      <c r="D3" s="33"/>
      <c r="E3" s="86" t="s">
        <v>31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1:16" ht="18" x14ac:dyDescent="0.25">
      <c r="A4" s="4" t="s">
        <v>0</v>
      </c>
      <c r="B4" s="2">
        <v>0.3</v>
      </c>
      <c r="C4" s="2" t="s">
        <v>2</v>
      </c>
      <c r="D4" s="5"/>
      <c r="E4" s="6"/>
      <c r="F4" s="7"/>
      <c r="G4" s="8">
        <f>B8</f>
        <v>70</v>
      </c>
      <c r="H4" s="9">
        <f>G4+$B$9</f>
        <v>75</v>
      </c>
      <c r="I4" s="9">
        <f t="shared" ref="I4:P4" si="0">H4+$B$9</f>
        <v>80</v>
      </c>
      <c r="J4" s="9">
        <f t="shared" si="0"/>
        <v>85</v>
      </c>
      <c r="K4" s="9">
        <f t="shared" si="0"/>
        <v>90</v>
      </c>
      <c r="L4" s="9">
        <f t="shared" si="0"/>
        <v>95</v>
      </c>
      <c r="M4" s="9">
        <f t="shared" si="0"/>
        <v>100</v>
      </c>
      <c r="N4" s="9">
        <f t="shared" si="0"/>
        <v>105</v>
      </c>
      <c r="O4" s="9">
        <f t="shared" si="0"/>
        <v>110</v>
      </c>
      <c r="P4" s="10">
        <f t="shared" si="0"/>
        <v>115</v>
      </c>
    </row>
    <row r="5" spans="1:16" ht="17.25" x14ac:dyDescent="0.25">
      <c r="E5" s="11" t="s">
        <v>64</v>
      </c>
      <c r="F5" s="12" t="s">
        <v>13</v>
      </c>
      <c r="G5" s="14">
        <f>ROUNDDOWN(MIN(((G$4^2-$B$23*$B$24^2)/(4*$B$7*(G$4)+$B$23*$B$24))*(13*$B$4^2+4.5*$B$4+0.8)+54.7*$B$4^2-10.8*$B$4+1.7,20),1)</f>
        <v>9.1</v>
      </c>
      <c r="H5" s="14">
        <f t="shared" ref="H5:P5" si="1">ROUNDDOWN(MIN(((H$4^2-$B$23*$B$24^2)/(4*$B$7*(H$4)+$B$23*$B$24))*(13*$B$4^2+4.5*$B$4+0.8)+54.7*$B$4^2-10.8*$B$4+1.7,20),1)</f>
        <v>9.6</v>
      </c>
      <c r="I5" s="14">
        <f t="shared" si="1"/>
        <v>10</v>
      </c>
      <c r="J5" s="14">
        <f t="shared" si="1"/>
        <v>10.4</v>
      </c>
      <c r="K5" s="14">
        <f t="shared" si="1"/>
        <v>10.8</v>
      </c>
      <c r="L5" s="14">
        <f t="shared" si="1"/>
        <v>11.2</v>
      </c>
      <c r="M5" s="14">
        <f>ROUNDDOWN(MIN(((M$4^2-$B$23*$B$24^2)/(4*$B$7*(M$4)+$B$23*$B$24))*(13*$B$4^2+4.5*$B$4+0.8)+54.7*$B$4^2-10.8*$B$4+1.7,20),1)</f>
        <v>11.6</v>
      </c>
      <c r="N5" s="14">
        <f t="shared" si="1"/>
        <v>12</v>
      </c>
      <c r="O5" s="14">
        <f t="shared" si="1"/>
        <v>12.5</v>
      </c>
      <c r="P5" s="15">
        <f t="shared" si="1"/>
        <v>12.9</v>
      </c>
    </row>
    <row r="6" spans="1:16" x14ac:dyDescent="0.25">
      <c r="A6" s="82" t="s">
        <v>32</v>
      </c>
      <c r="B6" s="82"/>
      <c r="C6" s="82"/>
      <c r="E6" s="11" t="s">
        <v>65</v>
      </c>
      <c r="F6" s="12" t="s">
        <v>3</v>
      </c>
      <c r="G6" s="14">
        <f>ROUNDDOWN(G5*G7/1000,1)</f>
        <v>35</v>
      </c>
      <c r="H6" s="14">
        <f t="shared" ref="H6:P6" si="2">ROUNDDOWN(H5*H7/1000,1)</f>
        <v>42.4</v>
      </c>
      <c r="I6" s="14">
        <f t="shared" si="2"/>
        <v>50.2</v>
      </c>
      <c r="J6" s="14">
        <f t="shared" si="2"/>
        <v>59</v>
      </c>
      <c r="K6" s="14">
        <f t="shared" si="2"/>
        <v>68.7</v>
      </c>
      <c r="L6" s="14">
        <f t="shared" si="2"/>
        <v>79.3</v>
      </c>
      <c r="M6" s="14">
        <f t="shared" si="2"/>
        <v>91.1</v>
      </c>
      <c r="N6" s="14">
        <f t="shared" si="2"/>
        <v>103.9</v>
      </c>
      <c r="O6" s="14">
        <f t="shared" si="2"/>
        <v>118.7</v>
      </c>
      <c r="P6" s="15">
        <f t="shared" si="2"/>
        <v>133.9</v>
      </c>
    </row>
    <row r="7" spans="1:16" ht="17.25" x14ac:dyDescent="0.25">
      <c r="A7" s="2" t="s">
        <v>34</v>
      </c>
      <c r="B7" s="1">
        <v>10</v>
      </c>
      <c r="C7" s="5" t="s">
        <v>1</v>
      </c>
      <c r="E7" s="11" t="s">
        <v>66</v>
      </c>
      <c r="F7" s="12" t="s">
        <v>4</v>
      </c>
      <c r="G7" s="39">
        <f>PI()/4*(G$4^2-$B$23*$B$24^2)</f>
        <v>3848.4510006474966</v>
      </c>
      <c r="H7" s="39">
        <f t="shared" ref="H7:P7" si="3">PI()/4*(H$4^2-$B$23*$B$24^2)</f>
        <v>4417.8646691106469</v>
      </c>
      <c r="I7" s="39">
        <f t="shared" si="3"/>
        <v>5026.5482457436692</v>
      </c>
      <c r="J7" s="39">
        <f t="shared" si="3"/>
        <v>5674.5017305465635</v>
      </c>
      <c r="K7" s="39">
        <f t="shared" si="3"/>
        <v>6361.7251235193307</v>
      </c>
      <c r="L7" s="39">
        <f t="shared" si="3"/>
        <v>7088.2184246619709</v>
      </c>
      <c r="M7" s="39">
        <f t="shared" si="3"/>
        <v>7853.981633974483</v>
      </c>
      <c r="N7" s="39">
        <f t="shared" si="3"/>
        <v>8659.0147514568671</v>
      </c>
      <c r="O7" s="39">
        <f t="shared" si="3"/>
        <v>9503.317777109125</v>
      </c>
      <c r="P7" s="40">
        <f t="shared" si="3"/>
        <v>10386.890710931253</v>
      </c>
    </row>
    <row r="8" spans="1:16" x14ac:dyDescent="0.25">
      <c r="A8" s="2" t="s">
        <v>38</v>
      </c>
      <c r="B8" s="1">
        <v>70</v>
      </c>
      <c r="C8" s="2" t="s">
        <v>1</v>
      </c>
      <c r="E8" s="11" t="s">
        <v>77</v>
      </c>
      <c r="F8" s="12" t="s">
        <v>6</v>
      </c>
      <c r="G8" s="14">
        <f>ROUNDDOWN(MIN(0.9*$B$7/G$4,0.1)*1000,1)</f>
        <v>100</v>
      </c>
      <c r="H8" s="14">
        <f t="shared" ref="H8:P8" si="4">ROUNDDOWN(MIN(0.9*$B$7/H$4,0.1)*1000,1)</f>
        <v>100</v>
      </c>
      <c r="I8" s="14">
        <f t="shared" si="4"/>
        <v>100</v>
      </c>
      <c r="J8" s="14">
        <f t="shared" si="4"/>
        <v>100</v>
      </c>
      <c r="K8" s="14">
        <f t="shared" si="4"/>
        <v>100</v>
      </c>
      <c r="L8" s="14">
        <f t="shared" si="4"/>
        <v>94.7</v>
      </c>
      <c r="M8" s="14">
        <f t="shared" si="4"/>
        <v>90</v>
      </c>
      <c r="N8" s="14">
        <f t="shared" si="4"/>
        <v>85.7</v>
      </c>
      <c r="O8" s="14">
        <f t="shared" si="4"/>
        <v>81.8</v>
      </c>
      <c r="P8" s="15">
        <f t="shared" si="4"/>
        <v>78.2</v>
      </c>
    </row>
    <row r="9" spans="1:16" ht="15.75" thickBot="1" x14ac:dyDescent="0.3">
      <c r="A9" s="2" t="s">
        <v>33</v>
      </c>
      <c r="B9" s="1">
        <v>5</v>
      </c>
      <c r="C9" s="2" t="s">
        <v>1</v>
      </c>
      <c r="E9" s="17"/>
      <c r="F9" s="18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x14ac:dyDescent="0.25">
      <c r="B10" s="5"/>
    </row>
    <row r="12" spans="1:16" ht="15" customHeight="1" x14ac:dyDescent="0.25">
      <c r="A12" s="89" t="s">
        <v>37</v>
      </c>
      <c r="B12" s="89"/>
      <c r="C12" s="89"/>
    </row>
    <row r="13" spans="1:16" x14ac:dyDescent="0.25">
      <c r="A13" s="89"/>
      <c r="B13" s="89"/>
      <c r="C13" s="89"/>
    </row>
    <row r="14" spans="1:16" ht="18" x14ac:dyDescent="0.25">
      <c r="A14" s="2" t="s">
        <v>44</v>
      </c>
      <c r="B14" s="1">
        <v>72</v>
      </c>
      <c r="C14" s="5" t="s">
        <v>3</v>
      </c>
    </row>
    <row r="15" spans="1:16" x14ac:dyDescent="0.25">
      <c r="A15" s="2" t="s">
        <v>17</v>
      </c>
      <c r="B15" s="1">
        <v>0</v>
      </c>
      <c r="C15" s="2" t="s">
        <v>6</v>
      </c>
    </row>
    <row r="16" spans="1:16" ht="18" x14ac:dyDescent="0.25">
      <c r="A16" s="2" t="s">
        <v>45</v>
      </c>
      <c r="B16" s="1">
        <v>0</v>
      </c>
      <c r="C16" s="2" t="s">
        <v>1</v>
      </c>
    </row>
    <row r="17" spans="1:4" ht="17.25" x14ac:dyDescent="0.25">
      <c r="A17" s="2" t="s">
        <v>46</v>
      </c>
      <c r="B17" s="1">
        <v>4000</v>
      </c>
      <c r="C17" s="5" t="s">
        <v>4</v>
      </c>
      <c r="D17" s="5"/>
    </row>
    <row r="20" spans="1:4" x14ac:dyDescent="0.25">
      <c r="A20" s="82" t="s">
        <v>39</v>
      </c>
      <c r="B20" s="82"/>
      <c r="C20" s="82"/>
    </row>
    <row r="21" spans="1:4" x14ac:dyDescent="0.25">
      <c r="A21" s="2" t="s">
        <v>67</v>
      </c>
      <c r="B21" s="1">
        <v>95</v>
      </c>
      <c r="C21" s="2" t="s">
        <v>1</v>
      </c>
    </row>
    <row r="22" spans="1:4" x14ac:dyDescent="0.25">
      <c r="A22" s="90" t="s">
        <v>49</v>
      </c>
      <c r="B22" s="90"/>
      <c r="C22" s="90"/>
    </row>
    <row r="23" spans="1:4" x14ac:dyDescent="0.25">
      <c r="A23" s="2" t="s">
        <v>50</v>
      </c>
      <c r="B23" s="1">
        <v>0</v>
      </c>
      <c r="C23" s="2" t="s">
        <v>2</v>
      </c>
    </row>
    <row r="24" spans="1:4" x14ac:dyDescent="0.25">
      <c r="A24" s="2" t="s">
        <v>51</v>
      </c>
      <c r="B24" s="1">
        <v>12</v>
      </c>
      <c r="C24" s="2" t="s">
        <v>1</v>
      </c>
    </row>
    <row r="25" spans="1:4" x14ac:dyDescent="0.25">
      <c r="B25" s="5"/>
    </row>
    <row r="26" spans="1:4" x14ac:dyDescent="0.25">
      <c r="A26" s="2" t="s">
        <v>52</v>
      </c>
      <c r="B26" s="91" t="s">
        <v>15</v>
      </c>
      <c r="C26" s="91"/>
    </row>
    <row r="29" spans="1:4" x14ac:dyDescent="0.25">
      <c r="A29" s="82" t="s">
        <v>40</v>
      </c>
      <c r="B29" s="82"/>
      <c r="C29" s="82"/>
    </row>
    <row r="30" spans="1:4" ht="17.25" x14ac:dyDescent="0.25">
      <c r="A30" s="35" t="s">
        <v>53</v>
      </c>
      <c r="B30" s="41">
        <f>B21^2/4*PI()-B23*B24^2/4*PI()</f>
        <v>7088.2184246619709</v>
      </c>
      <c r="C30" s="35" t="s">
        <v>4</v>
      </c>
      <c r="D30" s="5"/>
    </row>
    <row r="31" spans="1:4" ht="18" x14ac:dyDescent="0.25">
      <c r="A31" s="35" t="s">
        <v>54</v>
      </c>
      <c r="B31" s="41">
        <f>(B21*PI()+B23*B24*PI())*B7</f>
        <v>2984.5130209103036</v>
      </c>
      <c r="C31" s="35" t="s">
        <v>4</v>
      </c>
    </row>
    <row r="32" spans="1:4" x14ac:dyDescent="0.25">
      <c r="A32" s="2" t="s">
        <v>55</v>
      </c>
      <c r="B32" s="38">
        <f>ROUNDDOWN(B30/B31,2)</f>
        <v>2.37</v>
      </c>
      <c r="C32" s="2" t="s">
        <v>2</v>
      </c>
    </row>
    <row r="33" spans="1:3" x14ac:dyDescent="0.25">
      <c r="A33" s="2" t="s">
        <v>18</v>
      </c>
      <c r="B33" s="37">
        <f>B21/B7</f>
        <v>9.5</v>
      </c>
      <c r="C33" s="2" t="s">
        <v>2</v>
      </c>
    </row>
    <row r="36" spans="1:3" x14ac:dyDescent="0.25">
      <c r="A36" s="89" t="s">
        <v>41</v>
      </c>
      <c r="B36" s="82"/>
      <c r="C36" s="82"/>
    </row>
    <row r="37" spans="1:3" ht="17.25" x14ac:dyDescent="0.25">
      <c r="A37" s="2" t="s">
        <v>56</v>
      </c>
      <c r="B37" s="34">
        <f>B14*1000/B30</f>
        <v>10.157700523094928</v>
      </c>
      <c r="C37" s="2" t="s">
        <v>13</v>
      </c>
    </row>
    <row r="38" spans="1:3" ht="18" x14ac:dyDescent="0.25">
      <c r="A38" s="2" t="s">
        <v>57</v>
      </c>
      <c r="B38" s="43">
        <f>(-(B32*B63+B66)+SQRT((B32*B63+B66)^2-4*(B32*B62+B65)*(B32*B64+B67-B37)))/(2*(B32*B62+B65))*100</f>
        <v>28.723073737523798</v>
      </c>
      <c r="C38" s="2" t="s">
        <v>12</v>
      </c>
    </row>
    <row r="39" spans="1:3" ht="18" x14ac:dyDescent="0.25">
      <c r="A39" s="2" t="s">
        <v>58</v>
      </c>
      <c r="B39" s="34">
        <f>B38*B7/100</f>
        <v>2.8723073737523799</v>
      </c>
      <c r="C39" s="2" t="s">
        <v>1</v>
      </c>
    </row>
    <row r="42" spans="1:3" ht="15" customHeight="1" x14ac:dyDescent="0.25">
      <c r="A42" s="89" t="s">
        <v>42</v>
      </c>
      <c r="B42" s="89"/>
      <c r="C42" s="89"/>
    </row>
    <row r="43" spans="1:3" x14ac:dyDescent="0.25">
      <c r="A43" s="89"/>
      <c r="B43" s="89"/>
      <c r="C43" s="89"/>
    </row>
    <row r="44" spans="1:3" ht="18" x14ac:dyDescent="0.25">
      <c r="A44" s="2" t="s">
        <v>59</v>
      </c>
      <c r="B44" s="2">
        <f>(1-B38/100)*B7</f>
        <v>7.1276926262476206</v>
      </c>
      <c r="C44" s="2" t="s">
        <v>1</v>
      </c>
    </row>
    <row r="45" spans="1:3" x14ac:dyDescent="0.25">
      <c r="A45" s="2" t="s">
        <v>60</v>
      </c>
      <c r="B45" s="34">
        <f>B7-B44-(B21*B15)/3000</f>
        <v>2.8723073737523794</v>
      </c>
      <c r="C45" s="2" t="s">
        <v>2</v>
      </c>
    </row>
    <row r="48" spans="1:3" x14ac:dyDescent="0.25">
      <c r="A48" s="82" t="s">
        <v>43</v>
      </c>
      <c r="B48" s="82"/>
      <c r="C48" s="82"/>
    </row>
    <row r="49" spans="1:3" x14ac:dyDescent="0.25">
      <c r="A49" s="2" t="s">
        <v>61</v>
      </c>
      <c r="B49" s="36">
        <f>0.1+(1.5*VLOOKUP(B26,A59:B60,2,0)/B37)</f>
        <v>0.12953424343609155</v>
      </c>
      <c r="C49" s="2" t="s">
        <v>2</v>
      </c>
    </row>
    <row r="50" spans="1:3" ht="18" x14ac:dyDescent="0.25">
      <c r="A50" s="2" t="s">
        <v>62</v>
      </c>
      <c r="B50" s="34">
        <f>MIN(B49*B37*B44/2.2,0.7*B7)</f>
        <v>4.262911136219917</v>
      </c>
      <c r="C50" s="2" t="s">
        <v>1</v>
      </c>
    </row>
    <row r="51" spans="1:3" ht="18" x14ac:dyDescent="0.25">
      <c r="A51" s="2" t="s">
        <v>63</v>
      </c>
      <c r="B51" s="34">
        <f>B50/B44*2.2*B30/1000</f>
        <v>9.3264655273985912</v>
      </c>
      <c r="C51" s="2" t="s">
        <v>3</v>
      </c>
    </row>
    <row r="58" spans="1:3" ht="18" x14ac:dyDescent="0.25">
      <c r="A58" s="2" t="s">
        <v>16</v>
      </c>
    </row>
    <row r="59" spans="1:3" x14ac:dyDescent="0.25">
      <c r="A59" s="2" t="s">
        <v>14</v>
      </c>
      <c r="B59" s="2">
        <v>0.6</v>
      </c>
    </row>
    <row r="60" spans="1:3" x14ac:dyDescent="0.25">
      <c r="A60" s="2" t="s">
        <v>15</v>
      </c>
      <c r="B60" s="2">
        <v>0.2</v>
      </c>
    </row>
    <row r="62" spans="1:3" x14ac:dyDescent="0.25">
      <c r="A62" s="2" t="s">
        <v>19</v>
      </c>
      <c r="B62" s="2">
        <v>12.7</v>
      </c>
    </row>
    <row r="63" spans="1:3" x14ac:dyDescent="0.25">
      <c r="A63" s="2" t="s">
        <v>20</v>
      </c>
      <c r="B63" s="2">
        <v>4.26</v>
      </c>
    </row>
    <row r="64" spans="1:3" x14ac:dyDescent="0.25">
      <c r="A64" s="2" t="s">
        <v>21</v>
      </c>
      <c r="B64" s="2">
        <v>0.83499999999999996</v>
      </c>
    </row>
    <row r="65" spans="1:2" x14ac:dyDescent="0.25">
      <c r="A65" s="2" t="s">
        <v>22</v>
      </c>
      <c r="B65" s="2">
        <v>45.4</v>
      </c>
    </row>
    <row r="66" spans="1:2" x14ac:dyDescent="0.25">
      <c r="A66" s="2" t="s">
        <v>23</v>
      </c>
      <c r="B66" s="2">
        <v>-9.4</v>
      </c>
    </row>
    <row r="67" spans="1:2" x14ac:dyDescent="0.25">
      <c r="A67" s="2" t="s">
        <v>24</v>
      </c>
      <c r="B67" s="2">
        <v>1.75</v>
      </c>
    </row>
  </sheetData>
  <mergeCells count="13">
    <mergeCell ref="A12:C13"/>
    <mergeCell ref="A1:P1"/>
    <mergeCell ref="A2:P2"/>
    <mergeCell ref="A3:C3"/>
    <mergeCell ref="E3:P3"/>
    <mergeCell ref="A6:C6"/>
    <mergeCell ref="A48:C48"/>
    <mergeCell ref="A20:C20"/>
    <mergeCell ref="A22:C22"/>
    <mergeCell ref="B26:C26"/>
    <mergeCell ref="A29:C29"/>
    <mergeCell ref="A36:C36"/>
    <mergeCell ref="A42:C43"/>
  </mergeCells>
  <conditionalFormatting sqref="B32">
    <cfRule type="cellIs" dxfId="48" priority="9" operator="greaterThanOrEqual">
      <formula>5</formula>
    </cfRule>
    <cfRule type="cellIs" dxfId="47" priority="19" operator="lessThanOrEqual">
      <formula>0.5</formula>
    </cfRule>
    <cfRule type="cellIs" dxfId="46" priority="20" operator="between">
      <formula>0.5</formula>
      <formula>5</formula>
    </cfRule>
  </conditionalFormatting>
  <conditionalFormatting sqref="B33">
    <cfRule type="cellIs" dxfId="45" priority="10" operator="between">
      <formula>4</formula>
      <formula>25</formula>
    </cfRule>
    <cfRule type="cellIs" dxfId="44" priority="17" operator="greaterThan">
      <formula>25</formula>
    </cfRule>
    <cfRule type="cellIs" dxfId="43" priority="18" operator="lessThan">
      <formula>4</formula>
    </cfRule>
  </conditionalFormatting>
  <conditionalFormatting sqref="B45">
    <cfRule type="cellIs" dxfId="42" priority="15" operator="greaterThanOrEqual">
      <formula>0</formula>
    </cfRule>
    <cfRule type="cellIs" dxfId="41" priority="16" operator="lessThan">
      <formula>0</formula>
    </cfRule>
  </conditionalFormatting>
  <conditionalFormatting sqref="B30">
    <cfRule type="cellIs" dxfId="40" priority="13" operator="lessThanOrEqual">
      <formula>$B$17</formula>
    </cfRule>
    <cfRule type="cellIs" dxfId="39" priority="14" operator="greaterThan">
      <formula>$B$17</formula>
    </cfRule>
  </conditionalFormatting>
  <conditionalFormatting sqref="B50">
    <cfRule type="cellIs" dxfId="38" priority="11" operator="lessThan">
      <formula>$B$16</formula>
    </cfRule>
    <cfRule type="cellIs" dxfId="37" priority="12" operator="greaterThan">
      <formula>$B$16</formula>
    </cfRule>
  </conditionalFormatting>
  <conditionalFormatting sqref="G5:P5">
    <cfRule type="expression" dxfId="36" priority="140">
      <formula>AND(G$4=$B$21,G5&lt;$B$37)</formula>
    </cfRule>
    <cfRule type="expression" dxfId="35" priority="141">
      <formula>AND(G$4=$B$21)</formula>
    </cfRule>
    <cfRule type="cellIs" dxfId="34" priority="142" operator="greaterThan">
      <formula>$B$37</formula>
    </cfRule>
  </conditionalFormatting>
  <conditionalFormatting sqref="G6:P6">
    <cfRule type="expression" dxfId="33" priority="6">
      <formula>AND(G$4=$B$21,G6&lt;$B$14)</formula>
    </cfRule>
    <cfRule type="expression" dxfId="32" priority="7">
      <formula>AND(G$4=$B$21)</formula>
    </cfRule>
    <cfRule type="cellIs" dxfId="31" priority="8" operator="greaterThanOrEqual">
      <formula>$B$14</formula>
    </cfRule>
  </conditionalFormatting>
  <conditionalFormatting sqref="G7:P7">
    <cfRule type="expression" dxfId="30" priority="3">
      <formula>AND(G$4=$B$21,G7&gt;$B$17)</formula>
    </cfRule>
    <cfRule type="expression" dxfId="29" priority="4">
      <formula>AND(G$4=$B$21)</formula>
    </cfRule>
    <cfRule type="cellIs" dxfId="28" priority="5" operator="lessThanOrEqual">
      <formula>$B$17</formula>
    </cfRule>
  </conditionalFormatting>
  <conditionalFormatting sqref="B38">
    <cfRule type="cellIs" dxfId="27" priority="1" operator="greaterThan">
      <formula>30</formula>
    </cfRule>
    <cfRule type="cellIs" dxfId="26" priority="2" operator="lessThan">
      <formula>10</formula>
    </cfRule>
  </conditionalFormatting>
  <dataValidations disablePrompts="1" count="1">
    <dataValidation type="list" showInputMessage="1" showErrorMessage="1" sqref="B26">
      <formula1>$A$59:$A$60</formula1>
    </dataValidation>
  </dataValidations>
  <pageMargins left="0.7" right="0.7" top="0.78740157499999996" bottom="0.78740157499999996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Layout" zoomScaleNormal="100" workbookViewId="0">
      <selection sqref="A1:G1"/>
    </sheetView>
  </sheetViews>
  <sheetFormatPr baseColWidth="10" defaultRowHeight="15" x14ac:dyDescent="0.25"/>
  <cols>
    <col min="1" max="1" width="31.7109375" style="45" customWidth="1"/>
    <col min="2" max="2" width="9.42578125" style="45" customWidth="1"/>
    <col min="3" max="3" width="8.85546875" style="45" bestFit="1" customWidth="1"/>
    <col min="4" max="4" width="4.28515625" style="45" customWidth="1"/>
    <col min="5" max="5" width="36.140625" style="45" customWidth="1"/>
    <col min="6" max="6" width="9.42578125" style="45" customWidth="1"/>
    <col min="7" max="7" width="8.85546875" style="45" bestFit="1" customWidth="1"/>
    <col min="8" max="17" width="6.5703125" style="45" customWidth="1"/>
    <col min="18" max="16384" width="11.42578125" style="45"/>
  </cols>
  <sheetData>
    <row r="1" spans="1:17" ht="40.5" customHeight="1" x14ac:dyDescent="0.25">
      <c r="A1" s="114" t="s">
        <v>27</v>
      </c>
      <c r="B1" s="114"/>
      <c r="C1" s="114"/>
      <c r="D1" s="114"/>
      <c r="E1" s="114"/>
      <c r="F1" s="114"/>
      <c r="G1" s="11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3.75" x14ac:dyDescent="0.25">
      <c r="A2" s="46"/>
      <c r="B2" s="46"/>
      <c r="C2" s="46"/>
      <c r="D2" s="46"/>
      <c r="E2" s="46"/>
      <c r="F2" s="46"/>
      <c r="G2" s="46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5">
      <c r="A3" s="47" t="s">
        <v>71</v>
      </c>
      <c r="B3" s="115"/>
      <c r="C3" s="116"/>
      <c r="D3" s="116"/>
      <c r="E3" s="116"/>
      <c r="F3" s="117"/>
      <c r="G3" s="48"/>
    </row>
    <row r="4" spans="1:17" x14ac:dyDescent="0.25">
      <c r="A4" s="49"/>
      <c r="B4" s="118"/>
      <c r="C4" s="119"/>
      <c r="D4" s="119"/>
      <c r="E4" s="119"/>
      <c r="F4" s="120"/>
      <c r="G4" s="48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5">
      <c r="A5" s="50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5">
      <c r="A6" s="51" t="s">
        <v>72</v>
      </c>
      <c r="B6" s="121" t="s">
        <v>25</v>
      </c>
      <c r="C6" s="102"/>
      <c r="D6" s="102"/>
      <c r="E6" s="102"/>
      <c r="F6" s="103"/>
      <c r="G6" s="48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50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51" t="s">
        <v>73</v>
      </c>
      <c r="B8" s="113"/>
      <c r="C8" s="102"/>
      <c r="D8" s="102"/>
      <c r="E8" s="102"/>
      <c r="F8" s="103"/>
      <c r="G8" s="48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51" t="s">
        <v>75</v>
      </c>
      <c r="B9" s="113"/>
      <c r="C9" s="102"/>
      <c r="D9" s="102"/>
      <c r="E9" s="102"/>
      <c r="F9" s="103"/>
      <c r="G9" s="48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25">
      <c r="A10" s="51" t="s">
        <v>74</v>
      </c>
      <c r="B10" s="101">
        <f ca="1">TODAY()</f>
        <v>43172</v>
      </c>
      <c r="C10" s="102"/>
      <c r="D10" s="102"/>
      <c r="E10" s="102"/>
      <c r="F10" s="103"/>
      <c r="G10" s="48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5"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.75" thickBot="1" x14ac:dyDescent="0.3">
      <c r="E12" s="24"/>
      <c r="F12" s="24"/>
      <c r="G12" s="24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5">
      <c r="A13" s="104" t="s">
        <v>70</v>
      </c>
      <c r="B13" s="105"/>
      <c r="C13" s="106"/>
      <c r="E13" s="104" t="s">
        <v>68</v>
      </c>
      <c r="F13" s="105"/>
      <c r="G13" s="106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8" x14ac:dyDescent="0.25">
      <c r="A14" s="2" t="s">
        <v>44</v>
      </c>
      <c r="B14" s="29">
        <f>'Dimensionnement rectangulaire'!B16</f>
        <v>1000</v>
      </c>
      <c r="C14" s="25" t="s">
        <v>3</v>
      </c>
      <c r="E14" s="52" t="s">
        <v>76</v>
      </c>
      <c r="F14" s="65">
        <f>ROUNDDOWN(MIN(($B23*B$24-$B$27*$B$28^2*PI()/4)/(2*$B$22*(B$24+$B23)+$B$27*$B$28*PI()*$B$22)*(13*$B$37^2+4.5*$B$37+0.8)+54.7*$B$37^2-10.8*$B$37+1.7,20),1)</f>
        <v>10.5</v>
      </c>
      <c r="G14" s="53" t="s">
        <v>13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8" x14ac:dyDescent="0.25">
      <c r="A15" s="11" t="s">
        <v>7</v>
      </c>
      <c r="B15" s="24">
        <f>'Dimensionnement rectangulaire'!B17</f>
        <v>15</v>
      </c>
      <c r="C15" s="22" t="s">
        <v>6</v>
      </c>
      <c r="D15" s="54"/>
      <c r="E15" s="11" t="s">
        <v>56</v>
      </c>
      <c r="F15" s="14">
        <f>B14*1000/B30</f>
        <v>10.127262939405636</v>
      </c>
      <c r="G15" s="22" t="s">
        <v>13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8" x14ac:dyDescent="0.25">
      <c r="A16" s="11" t="s">
        <v>8</v>
      </c>
      <c r="B16" s="24">
        <f>'Dimensionnement rectangulaire'!B18</f>
        <v>15</v>
      </c>
      <c r="C16" s="22" t="s">
        <v>6</v>
      </c>
      <c r="E16" s="107" t="str">
        <f>IF(F15&gt;F14,"Condition non respectée!","Condition respectée")</f>
        <v>Condition respectée</v>
      </c>
      <c r="F16" s="108"/>
      <c r="G16" s="10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8" x14ac:dyDescent="0.25">
      <c r="A17" s="11" t="s">
        <v>9</v>
      </c>
      <c r="B17" s="24">
        <f>'Dimensionnement rectangulaire'!B19</f>
        <v>0</v>
      </c>
      <c r="C17" s="22" t="s">
        <v>1</v>
      </c>
      <c r="E17" s="69"/>
      <c r="F17" s="24"/>
      <c r="G17" s="25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 thickBot="1" x14ac:dyDescent="0.3">
      <c r="A18" s="17" t="s">
        <v>10</v>
      </c>
      <c r="B18" s="26">
        <f>'Dimensionnement rectangulaire'!B20</f>
        <v>100000</v>
      </c>
      <c r="C18" s="27" t="s">
        <v>4</v>
      </c>
      <c r="D18" s="22"/>
      <c r="E18" s="2" t="s">
        <v>57</v>
      </c>
      <c r="F18" s="63">
        <f>'Dimensionnement rectangulaire'!B42</f>
        <v>30.254465344025416</v>
      </c>
      <c r="G18" s="53" t="s">
        <v>12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8" x14ac:dyDescent="0.25">
      <c r="D19" s="22"/>
      <c r="E19" s="2" t="s">
        <v>58</v>
      </c>
      <c r="F19" s="14">
        <f>F18*B22/100</f>
        <v>9.0763396032076251</v>
      </c>
      <c r="G19" s="22" t="s">
        <v>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.75" thickBot="1" x14ac:dyDescent="0.3">
      <c r="E20" s="107" t="str">
        <f>IF(F18/100&gt;B37,"Condition non respectée!","Condition respectée")</f>
        <v>Condition non respectée!</v>
      </c>
      <c r="F20" s="108"/>
      <c r="G20" s="109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A21" s="110" t="s">
        <v>69</v>
      </c>
      <c r="B21" s="111"/>
      <c r="C21" s="112"/>
      <c r="E21" s="69"/>
      <c r="F21" s="24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8" x14ac:dyDescent="0.25">
      <c r="A22" s="2" t="s">
        <v>34</v>
      </c>
      <c r="B22" s="24">
        <f>'Dimensionnement rectangulaire'!B7</f>
        <v>30</v>
      </c>
      <c r="C22" s="22" t="s">
        <v>1</v>
      </c>
      <c r="D22" s="67"/>
      <c r="E22" s="2" t="s">
        <v>59</v>
      </c>
      <c r="F22" s="64">
        <f>(1-F18/100)*B22</f>
        <v>20.923660396792375</v>
      </c>
      <c r="G22" s="53" t="s">
        <v>1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A23" s="2" t="s">
        <v>47</v>
      </c>
      <c r="B23" s="24">
        <f>'Dimensionnement rectangulaire'!B24</f>
        <v>200</v>
      </c>
      <c r="C23" s="22" t="s">
        <v>1</v>
      </c>
      <c r="D23" s="67"/>
      <c r="E23" s="2" t="s">
        <v>60</v>
      </c>
      <c r="F23" s="55">
        <f>B22-F22-(B23*B15+B24*B16)/3000</f>
        <v>5.5763396032076251</v>
      </c>
      <c r="G23" s="22" t="s"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A24" s="2" t="s">
        <v>48</v>
      </c>
      <c r="B24" s="24">
        <f>'Dimensionnement rectangulaire'!B25</f>
        <v>500</v>
      </c>
      <c r="C24" s="22" t="s">
        <v>1</v>
      </c>
      <c r="E24" s="92" t="str">
        <f>IF(F23&lt;0,"Condition non respectée!","Condition respectée")</f>
        <v>Condition respectée</v>
      </c>
      <c r="F24" s="93"/>
      <c r="G24" s="9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11"/>
      <c r="B25" s="12"/>
      <c r="C25" s="22"/>
      <c r="E25" s="68"/>
      <c r="F25" s="55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A26" s="95" t="s">
        <v>49</v>
      </c>
      <c r="B26" s="96"/>
      <c r="C26" s="97"/>
      <c r="D26" s="67"/>
      <c r="E26" s="2" t="s">
        <v>61</v>
      </c>
      <c r="F26" s="56">
        <f>0.1+(1.5*VLOOKUP(B35,A39:B40,2,0)/F15)</f>
        <v>0.18886902664470767</v>
      </c>
      <c r="G26" s="53" t="s">
        <v>2</v>
      </c>
    </row>
    <row r="27" spans="1:17" ht="18" x14ac:dyDescent="0.25">
      <c r="A27" s="11" t="s">
        <v>50</v>
      </c>
      <c r="B27" s="24">
        <f>'Dimensionnement rectangulaire'!B27</f>
        <v>1</v>
      </c>
      <c r="C27" s="22" t="s">
        <v>2</v>
      </c>
      <c r="D27" s="67"/>
      <c r="E27" s="2" t="s">
        <v>62</v>
      </c>
      <c r="F27" s="14">
        <f>MIN(F26*F15*F22/2.2,0.7*B22)</f>
        <v>18.191470639285281</v>
      </c>
      <c r="G27" s="22" t="s">
        <v>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8" x14ac:dyDescent="0.25">
      <c r="A28" s="11" t="s">
        <v>51</v>
      </c>
      <c r="B28" s="24">
        <f>'Dimensionnement rectangulaire'!B28</f>
        <v>40</v>
      </c>
      <c r="C28" s="22" t="s">
        <v>1</v>
      </c>
      <c r="D28" s="67"/>
      <c r="E28" s="2" t="s">
        <v>63</v>
      </c>
      <c r="F28" s="14">
        <f>F27/F22*2.2*B30/1000</f>
        <v>188.86902664470767</v>
      </c>
      <c r="G28" s="22" t="s">
        <v>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.75" thickBot="1" x14ac:dyDescent="0.3">
      <c r="A29" s="11"/>
      <c r="B29" s="24"/>
      <c r="C29" s="22"/>
      <c r="E29" s="98" t="str">
        <f>IF(F27&lt;B17,"Condition non respectée!","Condition respectée")</f>
        <v>Condition respectée</v>
      </c>
      <c r="F29" s="99"/>
      <c r="G29" s="100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7.25" x14ac:dyDescent="0.25">
      <c r="A30" s="35" t="s">
        <v>53</v>
      </c>
      <c r="B30" s="57">
        <f>$B23*B$24-$B$27*$B$28^2/4*PI()</f>
        <v>98743.362938564082</v>
      </c>
      <c r="C30" s="58" t="s">
        <v>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8" x14ac:dyDescent="0.25">
      <c r="A31" s="35" t="s">
        <v>54</v>
      </c>
      <c r="B31" s="57">
        <f>(2*(B$24+$B23)+$B$27*$B$28*PI())*$B$22</f>
        <v>45769.911184307755</v>
      </c>
      <c r="C31" s="58" t="s">
        <v>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25">
      <c r="A32" s="2" t="s">
        <v>55</v>
      </c>
      <c r="B32" s="59">
        <f>ROUNDDOWN(B30/B31,2)</f>
        <v>2.15</v>
      </c>
      <c r="C32" s="22" t="s">
        <v>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11" t="s">
        <v>11</v>
      </c>
      <c r="B33" s="66">
        <f>MIN(B23:B24)/B22</f>
        <v>6.666666666666667</v>
      </c>
      <c r="C33" s="22" t="s">
        <v>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11"/>
      <c r="B34" s="12"/>
      <c r="C34" s="22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.75" thickBot="1" x14ac:dyDescent="0.3">
      <c r="A35" s="17" t="s">
        <v>52</v>
      </c>
      <c r="B35" s="99" t="str">
        <f>'Dimensionnement rectangulaire'!B30:C30</f>
        <v>Beton</v>
      </c>
      <c r="C35" s="100"/>
      <c r="D35" s="54"/>
      <c r="E35" s="6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25">
      <c r="B37" s="61">
        <v>0.3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8" x14ac:dyDescent="0.25">
      <c r="A38" s="61" t="s">
        <v>26</v>
      </c>
      <c r="B38" s="61"/>
      <c r="C38" s="61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25">
      <c r="A39" s="61" t="s">
        <v>14</v>
      </c>
      <c r="B39" s="61">
        <v>0.6</v>
      </c>
      <c r="C39" s="6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5">
      <c r="A40" s="61" t="s">
        <v>15</v>
      </c>
      <c r="B40" s="61">
        <v>0.2</v>
      </c>
      <c r="C40" s="61"/>
      <c r="E40" s="24"/>
      <c r="F40" s="24"/>
      <c r="G40" s="24"/>
    </row>
    <row r="41" spans="1:17" x14ac:dyDescent="0.25">
      <c r="D41" s="61"/>
      <c r="E41" s="62"/>
      <c r="F41" s="24"/>
      <c r="G41" s="24"/>
    </row>
    <row r="42" spans="1:17" x14ac:dyDescent="0.25">
      <c r="D42" s="61"/>
      <c r="E42" s="62"/>
      <c r="F42" s="24"/>
      <c r="G42" s="24"/>
    </row>
    <row r="43" spans="1:17" x14ac:dyDescent="0.25">
      <c r="D43" s="61"/>
      <c r="E43" s="62"/>
      <c r="F43" s="24"/>
      <c r="G43" s="24"/>
    </row>
    <row r="44" spans="1:17" x14ac:dyDescent="0.25">
      <c r="E44" s="24"/>
      <c r="F44" s="24"/>
      <c r="G44" s="24"/>
    </row>
    <row r="45" spans="1:17" x14ac:dyDescent="0.25">
      <c r="E45" s="24"/>
      <c r="F45" s="24"/>
      <c r="G45" s="24"/>
    </row>
    <row r="46" spans="1:17" x14ac:dyDescent="0.25">
      <c r="E46" s="24"/>
      <c r="F46" s="24"/>
      <c r="G46" s="24"/>
    </row>
    <row r="47" spans="1:17" x14ac:dyDescent="0.25">
      <c r="E47" s="24"/>
      <c r="F47" s="24"/>
      <c r="G47" s="24"/>
    </row>
  </sheetData>
  <protectedRanges>
    <protectedRange password="DE7B" sqref="A3:A9 B5:B9 A10:B10 F5:G10" name="Bereich1_1_1"/>
  </protectedRanges>
  <mergeCells count="16">
    <mergeCell ref="B9:F9"/>
    <mergeCell ref="A1:G1"/>
    <mergeCell ref="B3:F3"/>
    <mergeCell ref="B4:F4"/>
    <mergeCell ref="B6:F6"/>
    <mergeCell ref="B8:F8"/>
    <mergeCell ref="E24:G24"/>
    <mergeCell ref="A26:C26"/>
    <mergeCell ref="E29:G29"/>
    <mergeCell ref="B35:C35"/>
    <mergeCell ref="B10:F10"/>
    <mergeCell ref="A13:C13"/>
    <mergeCell ref="E13:G13"/>
    <mergeCell ref="E16:G16"/>
    <mergeCell ref="E20:G20"/>
    <mergeCell ref="A21:C21"/>
  </mergeCells>
  <conditionalFormatting sqref="B32">
    <cfRule type="cellIs" dxfId="25" priority="1" operator="greaterThanOrEqual">
      <formula>5</formula>
    </cfRule>
    <cfRule type="cellIs" dxfId="24" priority="11" operator="lessThanOrEqual">
      <formula>0.5</formula>
    </cfRule>
    <cfRule type="cellIs" dxfId="23" priority="12" operator="between">
      <formula>0.5</formula>
      <formula>5</formula>
    </cfRule>
  </conditionalFormatting>
  <conditionalFormatting sqref="F23">
    <cfRule type="cellIs" dxfId="22" priority="7" operator="greaterThanOrEqual">
      <formula>0</formula>
    </cfRule>
    <cfRule type="cellIs" dxfId="21" priority="8" operator="lessThan">
      <formula>0</formula>
    </cfRule>
  </conditionalFormatting>
  <conditionalFormatting sqref="B30">
    <cfRule type="cellIs" dxfId="20" priority="5" operator="lessThanOrEqual">
      <formula>$B$18</formula>
    </cfRule>
    <cfRule type="cellIs" dxfId="19" priority="6" operator="greaterThan">
      <formula>$B$18</formula>
    </cfRule>
  </conditionalFormatting>
  <conditionalFormatting sqref="F27">
    <cfRule type="cellIs" dxfId="18" priority="3" operator="lessThan">
      <formula>$B$17</formula>
    </cfRule>
    <cfRule type="cellIs" dxfId="17" priority="4" operator="greaterThan">
      <formula>$B$17</formula>
    </cfRule>
  </conditionalFormatting>
  <conditionalFormatting sqref="B33">
    <cfRule type="cellIs" dxfId="16" priority="2" operator="between">
      <formula>4</formula>
      <formula>25</formula>
    </cfRule>
    <cfRule type="cellIs" dxfId="15" priority="9" operator="greaterThan">
      <formula>25</formula>
    </cfRule>
    <cfRule type="cellIs" dxfId="14" priority="10" operator="lessThan">
      <formula>4</formula>
    </cfRule>
  </conditionalFormatting>
  <conditionalFormatting sqref="F15">
    <cfRule type="cellIs" dxfId="13" priority="13" operator="lessThanOrEqual">
      <formula>$F$14</formula>
    </cfRule>
    <cfRule type="cellIs" dxfId="12" priority="14" operator="greaterThan">
      <formula>$F$14</formula>
    </cfRule>
  </conditionalFormatting>
  <conditionalFormatting sqref="H29:Q29">
    <cfRule type="expression" dxfId="11" priority="15">
      <formula>AND($G37=$B$23,#REF!=$B$24)</formula>
    </cfRule>
    <cfRule type="cellIs" dxfId="10" priority="16" operator="greaterThanOrEqual">
      <formula>MAX($B$15:$B$16)</formula>
    </cfRule>
  </conditionalFormatting>
  <conditionalFormatting sqref="H29:Q29">
    <cfRule type="expression" dxfId="9" priority="17">
      <formula>AND($G37=$B$23,#REF!=$B$24,H29&lt;MAX($B$15:$B$16))</formula>
    </cfRule>
  </conditionalFormatting>
  <conditionalFormatting sqref="H14:Q19 H11:Q12">
    <cfRule type="expression" dxfId="8" priority="18">
      <formula>AND(#REF!=$B$23,H$8=$B$24)</formula>
    </cfRule>
    <cfRule type="cellIs" dxfId="7" priority="19" operator="greaterThanOrEqual">
      <formula>$B$14</formula>
    </cfRule>
  </conditionalFormatting>
  <conditionalFormatting sqref="H14:Q19 H11:Q12">
    <cfRule type="expression" dxfId="6" priority="20">
      <formula>AND(H$8=$B$24,#REF!=$B$23,H11&lt;$B$14)</formula>
    </cfRule>
  </conditionalFormatting>
  <conditionalFormatting sqref="H4:Q5">
    <cfRule type="expression" dxfId="5" priority="21">
      <formula>AND($G12=$B$23,#REF!=$B$24,H4&lt;$F$15)</formula>
    </cfRule>
    <cfRule type="expression" dxfId="4" priority="22">
      <formula>AND($G12=$B$23,#REF!=$B$24)</formula>
    </cfRule>
    <cfRule type="cellIs" dxfId="3" priority="23" operator="greaterThan">
      <formula>$F$15</formula>
    </cfRule>
  </conditionalFormatting>
  <conditionalFormatting sqref="H9:Q10 H13:Q13">
    <cfRule type="expression" dxfId="2" priority="24">
      <formula>AND($G16=$B$23,H$8=$B$24)</formula>
    </cfRule>
    <cfRule type="cellIs" dxfId="1" priority="25" operator="greaterThanOrEqual">
      <formula>$B$14</formula>
    </cfRule>
  </conditionalFormatting>
  <conditionalFormatting sqref="H9:Q10 H13:Q13">
    <cfRule type="expression" dxfId="0" priority="26">
      <formula>AND(H$8=$B$24,$G16=$B$23,H9&lt;$B$14)</formula>
    </cfRule>
  </conditionalFormatting>
  <pageMargins left="0.70866141732283472" right="0.9055118110236221" top="0.94645833333333329" bottom="0.78740157480314965" header="0.31496062992125984" footer="0.31496062992125984"/>
  <pageSetup paperSize="9" scale="77" orientation="portrait" verticalDpi="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Dimensionnement rectangulaire</vt:lpstr>
      <vt:lpstr>Dimensionnement rond</vt:lpstr>
      <vt:lpstr>Sortie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Kübler</dc:creator>
  <cp:lastModifiedBy>Sandro Brunner</cp:lastModifiedBy>
  <cp:lastPrinted>2018-03-13T12:58:41Z</cp:lastPrinted>
  <dcterms:created xsi:type="dcterms:W3CDTF">2012-02-15T09:57:04Z</dcterms:created>
  <dcterms:modified xsi:type="dcterms:W3CDTF">2018-03-13T13:02:58Z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1629286079</vt:i4>
  </property>
  <property fmtid="{D5CDD505-2E9C-101B-9397-08002B2CF9AE}" pid="3" name="_NewReviewCycle">
    <vt:lpwstr/>
  </property>
  <property fmtid="{D5CDD505-2E9C-101B-9397-08002B2CF9AE}" pid="4" name="_EmailSubject">
    <vt:lpwstr>Dateien für Webseite - Onlinetool für LASTO®BLOCK F</vt:lpwstr>
  </property>
  <property fmtid="{D5CDD505-2E9C-101B-9397-08002B2CF9AE}" pid="5" name="_AuthorEmail">
    <vt:lpwstr>rkuebler@mageba.ch</vt:lpwstr>
  </property>
  <property fmtid="{D5CDD505-2E9C-101B-9397-08002B2CF9AE}" pid="6" name="_AuthorEmailDisplayName">
    <vt:lpwstr>Kübler, Rolf</vt:lpwstr>
  </property>
  <property fmtid="{D5CDD505-2E9C-101B-9397-08002B2CF9AE}" pid="7" name="_ReviewingToolsShownOnce">
    <vt:lpwstr/>
  </property>
</Properties>
</file>